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deliv\Desktop\work\For Uploads\April\"/>
    </mc:Choice>
  </mc:AlternateContent>
  <xr:revisionPtr revIDLastSave="0" documentId="8_{B16AF2B9-2B2D-42D0-BED5-BF26EDFF6103}" xr6:coauthVersionLast="46" xr6:coauthVersionMax="46" xr10:uidLastSave="{00000000-0000-0000-0000-000000000000}"/>
  <bookViews>
    <workbookView xWindow="2685" yWindow="2685" windowWidth="21600" windowHeight="11385" xr2:uid="{00000000-000D-0000-FFFF-FFFF00000000}"/>
  </bookViews>
  <sheets>
    <sheet name="Summary " sheetId="2" r:id="rId1"/>
    <sheet name="Revenue" sheetId="3" r:id="rId2"/>
    <sheet name="Opex" sheetId="1" r:id="rId3"/>
    <sheet name="Capex" sheetId="4" r:id="rId4"/>
    <sheet name="projects priorty" sheetId="5" r:id="rId5"/>
  </sheets>
  <externalReferences>
    <externalReference r:id="rId6"/>
    <externalReference r:id="rId7"/>
  </externalReferences>
  <definedNames>
    <definedName name="_xlnm._FilterDatabase" localSheetId="2" hidden="1">Opex!$A$1:$K$359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1" i="1" l="1"/>
  <c r="F42" i="2"/>
  <c r="E21" i="2"/>
  <c r="N303" i="1"/>
  <c r="N302" i="1"/>
  <c r="N300" i="1"/>
  <c r="L289" i="1"/>
  <c r="M289" i="1" s="1"/>
  <c r="N289" i="1" s="1"/>
  <c r="L288" i="1"/>
  <c r="M288" i="1" s="1"/>
  <c r="N288" i="1" s="1"/>
  <c r="L287" i="1"/>
  <c r="M287" i="1" s="1"/>
  <c r="N287" i="1" s="1"/>
  <c r="L286" i="1"/>
  <c r="M286" i="1" s="1"/>
  <c r="N286" i="1" s="1"/>
  <c r="L285" i="1"/>
  <c r="M285" i="1" s="1"/>
  <c r="N285" i="1" s="1"/>
  <c r="L284" i="1"/>
  <c r="M284" i="1" s="1"/>
  <c r="N284" i="1" s="1"/>
  <c r="L283" i="1"/>
  <c r="M283" i="1" s="1"/>
  <c r="N283" i="1" s="1"/>
  <c r="L282" i="1"/>
  <c r="M282" i="1" s="1"/>
  <c r="N282" i="1" s="1"/>
  <c r="L281" i="1"/>
  <c r="M281" i="1" s="1"/>
  <c r="N281" i="1" s="1"/>
  <c r="L280" i="1"/>
  <c r="M280" i="1" s="1"/>
  <c r="N280" i="1" s="1"/>
  <c r="L279" i="1"/>
  <c r="M279" i="1" s="1"/>
  <c r="N279" i="1" s="1"/>
  <c r="L278" i="1"/>
  <c r="M278" i="1" s="1"/>
  <c r="N278" i="1" s="1"/>
  <c r="L277" i="1"/>
  <c r="M277" i="1" s="1"/>
  <c r="N277" i="1" s="1"/>
  <c r="L276" i="1"/>
  <c r="M276" i="1" s="1"/>
  <c r="N276" i="1" s="1"/>
  <c r="L275" i="1"/>
  <c r="M275" i="1" s="1"/>
  <c r="E408" i="1"/>
  <c r="F408" i="1"/>
  <c r="G408" i="1"/>
  <c r="H408" i="1"/>
  <c r="I408" i="1"/>
  <c r="J408" i="1"/>
  <c r="K408" i="1"/>
  <c r="L408" i="1"/>
  <c r="M312" i="1" l="1"/>
  <c r="G21" i="2" s="1"/>
  <c r="N275" i="1"/>
  <c r="N312" i="1" s="1"/>
  <c r="H21" i="2" s="1"/>
  <c r="L312" i="1"/>
  <c r="F21" i="2" s="1"/>
  <c r="L38" i="3"/>
  <c r="L45" i="3" s="1"/>
  <c r="M323" i="1"/>
  <c r="N323" i="1" s="1"/>
  <c r="E273" i="1"/>
  <c r="F273" i="1"/>
  <c r="G273" i="1"/>
  <c r="H273" i="1"/>
  <c r="I273" i="1"/>
  <c r="J273" i="1"/>
  <c r="K273" i="1"/>
  <c r="D273" i="1"/>
  <c r="M53" i="4"/>
  <c r="L53" i="4"/>
  <c r="K53" i="4"/>
  <c r="J53" i="4"/>
  <c r="I53" i="4"/>
  <c r="H53" i="4"/>
  <c r="G53" i="4"/>
  <c r="F53" i="4"/>
  <c r="E53" i="4"/>
  <c r="D53" i="4"/>
  <c r="L203" i="1"/>
  <c r="L29" i="3" l="1"/>
  <c r="L28" i="3"/>
  <c r="L27" i="3"/>
  <c r="L26" i="3"/>
  <c r="L25" i="3"/>
  <c r="L24" i="3"/>
  <c r="L21" i="3"/>
  <c r="L20" i="3"/>
  <c r="L19" i="3"/>
  <c r="L18" i="3"/>
  <c r="L17" i="3"/>
  <c r="L14" i="3"/>
  <c r="L13" i="3"/>
  <c r="L12" i="3"/>
  <c r="L10" i="3"/>
  <c r="L9" i="3"/>
  <c r="L6" i="3"/>
  <c r="F43" i="2"/>
  <c r="L200" i="1" l="1"/>
  <c r="L357" i="1"/>
  <c r="N45" i="3" l="1"/>
  <c r="M45" i="3"/>
  <c r="E30" i="3"/>
  <c r="F30" i="3"/>
  <c r="G30" i="3"/>
  <c r="H30" i="3"/>
  <c r="I30" i="3"/>
  <c r="J30" i="3"/>
  <c r="K30" i="3"/>
  <c r="M20" i="3"/>
  <c r="N20" i="3" s="1"/>
  <c r="L202" i="1"/>
  <c r="L386" i="1"/>
  <c r="L383" i="1"/>
  <c r="L382" i="1"/>
  <c r="L148" i="1"/>
  <c r="L404" i="1"/>
  <c r="E154" i="1"/>
  <c r="F154" i="1"/>
  <c r="G154" i="1"/>
  <c r="H154" i="1"/>
  <c r="I154" i="1"/>
  <c r="J154" i="1"/>
  <c r="K154" i="1"/>
  <c r="D154" i="1"/>
  <c r="E18" i="2" s="1"/>
  <c r="M408" i="1"/>
  <c r="G42" i="2" s="1"/>
  <c r="N408" i="1"/>
  <c r="H42" i="2" s="1"/>
  <c r="D408" i="1"/>
  <c r="L398" i="1"/>
  <c r="Q218" i="1"/>
  <c r="R218" i="1"/>
  <c r="P218" i="1"/>
  <c r="L401" i="1"/>
  <c r="M401" i="1" s="1"/>
  <c r="N401" i="1" s="1"/>
  <c r="E20" i="2" l="1"/>
  <c r="N272" i="1"/>
  <c r="M272" i="1"/>
  <c r="L272" i="1"/>
  <c r="L271" i="1"/>
  <c r="M271" i="1" s="1"/>
  <c r="N271" i="1" s="1"/>
  <c r="L270" i="1"/>
  <c r="M270" i="1" s="1"/>
  <c r="N270" i="1" s="1"/>
  <c r="L269" i="1"/>
  <c r="M269" i="1" s="1"/>
  <c r="N269" i="1" s="1"/>
  <c r="L268" i="1"/>
  <c r="M268" i="1" s="1"/>
  <c r="N268" i="1" s="1"/>
  <c r="L267" i="1"/>
  <c r="M267" i="1" s="1"/>
  <c r="N267" i="1" s="1"/>
  <c r="L266" i="1"/>
  <c r="M266" i="1" s="1"/>
  <c r="N266" i="1" s="1"/>
  <c r="L265" i="1"/>
  <c r="M265" i="1" s="1"/>
  <c r="N265" i="1" s="1"/>
  <c r="M264" i="1"/>
  <c r="N264" i="1" s="1"/>
  <c r="M263" i="1"/>
  <c r="N263" i="1" s="1"/>
  <c r="L262" i="1"/>
  <c r="M262" i="1" s="1"/>
  <c r="N262" i="1" s="1"/>
  <c r="L261" i="1"/>
  <c r="M261" i="1" s="1"/>
  <c r="N261" i="1" s="1"/>
  <c r="L260" i="1"/>
  <c r="M260" i="1" s="1"/>
  <c r="N260" i="1" s="1"/>
  <c r="L259" i="1"/>
  <c r="M259" i="1" s="1"/>
  <c r="N259" i="1" s="1"/>
  <c r="L258" i="1"/>
  <c r="M258" i="1" s="1"/>
  <c r="N258" i="1" s="1"/>
  <c r="M257" i="1"/>
  <c r="N257" i="1" s="1"/>
  <c r="L256" i="1"/>
  <c r="M256" i="1" s="1"/>
  <c r="N256" i="1" s="1"/>
  <c r="L255" i="1"/>
  <c r="M255" i="1" s="1"/>
  <c r="N255" i="1" s="1"/>
  <c r="L254" i="1"/>
  <c r="M254" i="1" s="1"/>
  <c r="N254" i="1" s="1"/>
  <c r="L253" i="1"/>
  <c r="M253" i="1" s="1"/>
  <c r="N253" i="1" s="1"/>
  <c r="M252" i="1"/>
  <c r="N252" i="1" s="1"/>
  <c r="M251" i="1"/>
  <c r="N251" i="1" s="1"/>
  <c r="L250" i="1"/>
  <c r="M250" i="1" s="1"/>
  <c r="N250" i="1" s="1"/>
  <c r="L249" i="1"/>
  <c r="M249" i="1" s="1"/>
  <c r="N249" i="1" s="1"/>
  <c r="L248" i="1"/>
  <c r="M248" i="1" s="1"/>
  <c r="N248" i="1" s="1"/>
  <c r="L247" i="1"/>
  <c r="M247" i="1" s="1"/>
  <c r="N247" i="1" s="1"/>
  <c r="L246" i="1"/>
  <c r="M246" i="1" s="1"/>
  <c r="N246" i="1" s="1"/>
  <c r="L245" i="1"/>
  <c r="M245" i="1" s="1"/>
  <c r="N245" i="1" s="1"/>
  <c r="L244" i="1"/>
  <c r="M244" i="1" s="1"/>
  <c r="N244" i="1" s="1"/>
  <c r="L243" i="1"/>
  <c r="M243" i="1" s="1"/>
  <c r="N243" i="1" s="1"/>
  <c r="L242" i="1"/>
  <c r="M242" i="1" s="1"/>
  <c r="N242" i="1" s="1"/>
  <c r="L241" i="1"/>
  <c r="M241" i="1" s="1"/>
  <c r="N241" i="1" s="1"/>
  <c r="L240" i="1"/>
  <c r="M240" i="1" s="1"/>
  <c r="N240" i="1" s="1"/>
  <c r="L239" i="1"/>
  <c r="M239" i="1" s="1"/>
  <c r="N239" i="1" s="1"/>
  <c r="L238" i="1"/>
  <c r="M238" i="1" s="1"/>
  <c r="N238" i="1" s="1"/>
  <c r="L237" i="1"/>
  <c r="M237" i="1" s="1"/>
  <c r="N237" i="1" s="1"/>
  <c r="L236" i="1"/>
  <c r="M236" i="1" s="1"/>
  <c r="N236" i="1" s="1"/>
  <c r="L235" i="1"/>
  <c r="M235" i="1" s="1"/>
  <c r="N235" i="1" s="1"/>
  <c r="L234" i="1"/>
  <c r="M234" i="1" s="1"/>
  <c r="N234" i="1" s="1"/>
  <c r="L233" i="1"/>
  <c r="M233" i="1" s="1"/>
  <c r="N233" i="1" s="1"/>
  <c r="L232" i="1"/>
  <c r="M232" i="1" s="1"/>
  <c r="N232" i="1" s="1"/>
  <c r="L230" i="1"/>
  <c r="M230" i="1" s="1"/>
  <c r="N230" i="1" s="1"/>
  <c r="L229" i="1"/>
  <c r="M229" i="1" s="1"/>
  <c r="N229" i="1" s="1"/>
  <c r="L228" i="1"/>
  <c r="M228" i="1" s="1"/>
  <c r="N228" i="1" s="1"/>
  <c r="L227" i="1"/>
  <c r="M227" i="1" s="1"/>
  <c r="N227" i="1" s="1"/>
  <c r="L226" i="1"/>
  <c r="M226" i="1" s="1"/>
  <c r="N226" i="1" s="1"/>
  <c r="L225" i="1"/>
  <c r="M225" i="1" s="1"/>
  <c r="N225" i="1" s="1"/>
  <c r="L224" i="1"/>
  <c r="M224" i="1" s="1"/>
  <c r="N224" i="1" s="1"/>
  <c r="L223" i="1"/>
  <c r="M223" i="1" s="1"/>
  <c r="N223" i="1" s="1"/>
  <c r="L217" i="1"/>
  <c r="M217" i="1" s="1"/>
  <c r="N217" i="1" s="1"/>
  <c r="L216" i="1"/>
  <c r="M216" i="1" s="1"/>
  <c r="N216" i="1" s="1"/>
  <c r="L215" i="1"/>
  <c r="M215" i="1" s="1"/>
  <c r="N215" i="1" s="1"/>
  <c r="L214" i="1"/>
  <c r="L213" i="1"/>
  <c r="M213" i="1" s="1"/>
  <c r="N213" i="1" s="1"/>
  <c r="L212" i="1"/>
  <c r="M212" i="1" s="1"/>
  <c r="N212" i="1" s="1"/>
  <c r="L211" i="1"/>
  <c r="M211" i="1" l="1"/>
  <c r="L273" i="1"/>
  <c r="F20" i="2" s="1"/>
  <c r="M214" i="1"/>
  <c r="N214" i="1" s="1"/>
  <c r="M273" i="1" l="1"/>
  <c r="G20" i="2" s="1"/>
  <c r="N211" i="1"/>
  <c r="N273" i="1" s="1"/>
  <c r="H20" i="2" s="1"/>
  <c r="M33" i="3" l="1"/>
  <c r="N33" i="3" s="1"/>
  <c r="L32" i="3"/>
  <c r="M32" i="3" s="1"/>
  <c r="N32" i="3" s="1"/>
  <c r="M189" i="1"/>
  <c r="N189" i="1" s="1"/>
  <c r="E44" i="2"/>
  <c r="I43" i="2"/>
  <c r="E42" i="2"/>
  <c r="I42" i="2" s="1"/>
  <c r="E37" i="2"/>
  <c r="I37" i="2" s="1"/>
  <c r="E36" i="2"/>
  <c r="I36" i="2" s="1"/>
  <c r="E35" i="2"/>
  <c r="I35" i="2" s="1"/>
  <c r="E34" i="2"/>
  <c r="I34" i="2" s="1"/>
  <c r="E33" i="2"/>
  <c r="E27" i="2"/>
  <c r="I27" i="2" s="1"/>
  <c r="E12" i="2"/>
  <c r="I12" i="2" s="1"/>
  <c r="E11" i="2"/>
  <c r="I11" i="2" s="1"/>
  <c r="E10" i="2"/>
  <c r="I10" i="2" s="1"/>
  <c r="E9" i="2"/>
  <c r="I21" i="2" l="1"/>
  <c r="I18" i="2"/>
  <c r="I20" i="2"/>
  <c r="E38" i="2"/>
  <c r="E13" i="2"/>
  <c r="E45" i="2"/>
  <c r="I44" i="2"/>
  <c r="I45" i="2" s="1"/>
  <c r="I33" i="2"/>
  <c r="I38" i="2" s="1"/>
  <c r="I9" i="2"/>
  <c r="I13" i="2" s="1"/>
  <c r="F17" i="2" l="1"/>
  <c r="E17" i="2"/>
  <c r="I17" i="2" l="1"/>
  <c r="G17" i="2"/>
  <c r="H17" i="2"/>
  <c r="K354" i="1" l="1"/>
  <c r="J354" i="1"/>
  <c r="I354" i="1"/>
  <c r="H354" i="1"/>
  <c r="G354" i="1"/>
  <c r="F354" i="1"/>
  <c r="E354" i="1"/>
  <c r="D354" i="1"/>
  <c r="E22" i="2" s="1"/>
  <c r="L353" i="1"/>
  <c r="M353" i="1" s="1"/>
  <c r="N353" i="1" s="1"/>
  <c r="L352" i="1"/>
  <c r="M352" i="1" s="1"/>
  <c r="N352" i="1" s="1"/>
  <c r="L351" i="1"/>
  <c r="M351" i="1" s="1"/>
  <c r="N351" i="1" s="1"/>
  <c r="L350" i="1"/>
  <c r="M350" i="1" s="1"/>
  <c r="N350" i="1" s="1"/>
  <c r="L349" i="1"/>
  <c r="M349" i="1" s="1"/>
  <c r="N349" i="1" s="1"/>
  <c r="L348" i="1"/>
  <c r="M348" i="1" s="1"/>
  <c r="N348" i="1" s="1"/>
  <c r="L347" i="1"/>
  <c r="M347" i="1" s="1"/>
  <c r="N347" i="1" s="1"/>
  <c r="L346" i="1"/>
  <c r="M346" i="1" s="1"/>
  <c r="N346" i="1" s="1"/>
  <c r="L345" i="1"/>
  <c r="M345" i="1" s="1"/>
  <c r="N345" i="1" s="1"/>
  <c r="L344" i="1"/>
  <c r="M344" i="1" s="1"/>
  <c r="N344" i="1" s="1"/>
  <c r="L343" i="1"/>
  <c r="M343" i="1" s="1"/>
  <c r="N343" i="1" s="1"/>
  <c r="L342" i="1"/>
  <c r="M342" i="1" s="1"/>
  <c r="N342" i="1" s="1"/>
  <c r="L341" i="1"/>
  <c r="M341" i="1" s="1"/>
  <c r="N341" i="1" s="1"/>
  <c r="L340" i="1"/>
  <c r="M340" i="1" s="1"/>
  <c r="N340" i="1" s="1"/>
  <c r="L339" i="1"/>
  <c r="M339" i="1" s="1"/>
  <c r="N339" i="1" s="1"/>
  <c r="L338" i="1"/>
  <c r="M338" i="1" s="1"/>
  <c r="L337" i="1"/>
  <c r="M337" i="1" s="1"/>
  <c r="N337" i="1" s="1"/>
  <c r="L336" i="1"/>
  <c r="M336" i="1" s="1"/>
  <c r="N336" i="1" s="1"/>
  <c r="L335" i="1"/>
  <c r="M335" i="1" s="1"/>
  <c r="N335" i="1" s="1"/>
  <c r="L334" i="1"/>
  <c r="M334" i="1" s="1"/>
  <c r="N334" i="1" s="1"/>
  <c r="L333" i="1"/>
  <c r="M333" i="1" s="1"/>
  <c r="N333" i="1" s="1"/>
  <c r="L332" i="1"/>
  <c r="M332" i="1" s="1"/>
  <c r="N332" i="1" s="1"/>
  <c r="M331" i="1"/>
  <c r="N331" i="1" s="1"/>
  <c r="L330" i="1"/>
  <c r="M330" i="1" s="1"/>
  <c r="N330" i="1" s="1"/>
  <c r="L329" i="1"/>
  <c r="M329" i="1" s="1"/>
  <c r="N329" i="1" s="1"/>
  <c r="L328" i="1"/>
  <c r="M328" i="1" s="1"/>
  <c r="N328" i="1" s="1"/>
  <c r="L327" i="1"/>
  <c r="M327" i="1" s="1"/>
  <c r="N327" i="1" s="1"/>
  <c r="L326" i="1"/>
  <c r="M326" i="1" s="1"/>
  <c r="N326" i="1" s="1"/>
  <c r="L325" i="1"/>
  <c r="M325" i="1" s="1"/>
  <c r="N325" i="1" s="1"/>
  <c r="L322" i="1"/>
  <c r="M322" i="1" s="1"/>
  <c r="N322" i="1" s="1"/>
  <c r="L321" i="1"/>
  <c r="M321" i="1" s="1"/>
  <c r="N321" i="1" s="1"/>
  <c r="L320" i="1"/>
  <c r="M320" i="1" s="1"/>
  <c r="N320" i="1" s="1"/>
  <c r="L319" i="1"/>
  <c r="M319" i="1" s="1"/>
  <c r="N319" i="1" s="1"/>
  <c r="L318" i="1"/>
  <c r="M318" i="1" s="1"/>
  <c r="N318" i="1" s="1"/>
  <c r="L317" i="1"/>
  <c r="M317" i="1" s="1"/>
  <c r="N317" i="1" s="1"/>
  <c r="L316" i="1"/>
  <c r="M316" i="1" s="1"/>
  <c r="N316" i="1" s="1"/>
  <c r="L315" i="1"/>
  <c r="M315" i="1" s="1"/>
  <c r="L2" i="1"/>
  <c r="M2" i="1" s="1"/>
  <c r="L3" i="1"/>
  <c r="M3" i="1" s="1"/>
  <c r="N3" i="1" s="1"/>
  <c r="L4" i="1"/>
  <c r="M4" i="1" s="1"/>
  <c r="N4" i="1" s="1"/>
  <c r="L5" i="1"/>
  <c r="M5" i="1" s="1"/>
  <c r="N5" i="1" s="1"/>
  <c r="L6" i="1"/>
  <c r="M6" i="1" s="1"/>
  <c r="N6" i="1" s="1"/>
  <c r="L7" i="1"/>
  <c r="L8" i="1"/>
  <c r="M8" i="1" s="1"/>
  <c r="N8" i="1" s="1"/>
  <c r="L9" i="1"/>
  <c r="M9" i="1" s="1"/>
  <c r="N9" i="1" s="1"/>
  <c r="L10" i="1"/>
  <c r="M10" i="1" s="1"/>
  <c r="N10" i="1" s="1"/>
  <c r="L11" i="1"/>
  <c r="M11" i="1" s="1"/>
  <c r="N11" i="1" s="1"/>
  <c r="L12" i="1"/>
  <c r="M12" i="1" s="1"/>
  <c r="N12" i="1" s="1"/>
  <c r="L13" i="1"/>
  <c r="M13" i="1" s="1"/>
  <c r="N13" i="1" s="1"/>
  <c r="L14" i="1"/>
  <c r="M14" i="1" s="1"/>
  <c r="N14" i="1" s="1"/>
  <c r="L15" i="1"/>
  <c r="M15" i="1" s="1"/>
  <c r="N15" i="1" s="1"/>
  <c r="L16" i="1"/>
  <c r="M16" i="1" s="1"/>
  <c r="N16" i="1" s="1"/>
  <c r="L17" i="1"/>
  <c r="M17" i="1" s="1"/>
  <c r="N17" i="1" s="1"/>
  <c r="L18" i="1"/>
  <c r="M18" i="1" s="1"/>
  <c r="N18" i="1" s="1"/>
  <c r="L19" i="1"/>
  <c r="M19" i="1" s="1"/>
  <c r="N19" i="1" s="1"/>
  <c r="L20" i="1"/>
  <c r="M20" i="1" s="1"/>
  <c r="N20" i="1" s="1"/>
  <c r="L21" i="1"/>
  <c r="M21" i="1" s="1"/>
  <c r="N21" i="1" s="1"/>
  <c r="L22" i="1"/>
  <c r="M22" i="1" s="1"/>
  <c r="N22" i="1" s="1"/>
  <c r="L23" i="1"/>
  <c r="M23" i="1" s="1"/>
  <c r="N23" i="1" s="1"/>
  <c r="L24" i="1"/>
  <c r="M24" i="1" s="1"/>
  <c r="N24" i="1" s="1"/>
  <c r="L25" i="1"/>
  <c r="M25" i="1" s="1"/>
  <c r="N25" i="1" s="1"/>
  <c r="L26" i="1"/>
  <c r="M26" i="1" s="1"/>
  <c r="N26" i="1" s="1"/>
  <c r="L27" i="1"/>
  <c r="M27" i="1" s="1"/>
  <c r="N27" i="1" s="1"/>
  <c r="L28" i="1"/>
  <c r="M28" i="1" s="1"/>
  <c r="N28" i="1" s="1"/>
  <c r="L29" i="1"/>
  <c r="M29" i="1" s="1"/>
  <c r="N29" i="1" s="1"/>
  <c r="L30" i="1"/>
  <c r="M30" i="1" s="1"/>
  <c r="N30" i="1" s="1"/>
  <c r="L31" i="1"/>
  <c r="M31" i="1" s="1"/>
  <c r="N31" i="1" s="1"/>
  <c r="L32" i="1"/>
  <c r="M32" i="1" s="1"/>
  <c r="N32" i="1" s="1"/>
  <c r="L33" i="1"/>
  <c r="M33" i="1" s="1"/>
  <c r="N33" i="1" s="1"/>
  <c r="L34" i="1"/>
  <c r="M34" i="1" s="1"/>
  <c r="N34" i="1" s="1"/>
  <c r="L35" i="1"/>
  <c r="M35" i="1" s="1"/>
  <c r="N35" i="1" s="1"/>
  <c r="L36" i="1"/>
  <c r="M36" i="1" s="1"/>
  <c r="N36" i="1" s="1"/>
  <c r="L37" i="1"/>
  <c r="M37" i="1" s="1"/>
  <c r="N37" i="1" s="1"/>
  <c r="L38" i="1"/>
  <c r="M38" i="1" s="1"/>
  <c r="N38" i="1" s="1"/>
  <c r="L39" i="1"/>
  <c r="M39" i="1" s="1"/>
  <c r="N39" i="1" s="1"/>
  <c r="L40" i="1"/>
  <c r="M40" i="1" s="1"/>
  <c r="N40" i="1" s="1"/>
  <c r="L41" i="1"/>
  <c r="M41" i="1" s="1"/>
  <c r="N41" i="1" s="1"/>
  <c r="L42" i="1"/>
  <c r="M42" i="1" s="1"/>
  <c r="N42" i="1" s="1"/>
  <c r="L43" i="1"/>
  <c r="M43" i="1" s="1"/>
  <c r="N43" i="1" s="1"/>
  <c r="L44" i="1"/>
  <c r="M44" i="1" s="1"/>
  <c r="N44" i="1" s="1"/>
  <c r="L45" i="1"/>
  <c r="M45" i="1" s="1"/>
  <c r="N45" i="1" s="1"/>
  <c r="L46" i="1"/>
  <c r="M46" i="1" s="1"/>
  <c r="N46" i="1" s="1"/>
  <c r="L47" i="1"/>
  <c r="M47" i="1" s="1"/>
  <c r="N47" i="1" s="1"/>
  <c r="L48" i="1"/>
  <c r="M48" i="1" s="1"/>
  <c r="N48" i="1" s="1"/>
  <c r="L49" i="1"/>
  <c r="M49" i="1" s="1"/>
  <c r="N49" i="1" s="1"/>
  <c r="L50" i="1"/>
  <c r="M50" i="1" s="1"/>
  <c r="N50" i="1" s="1"/>
  <c r="L51" i="1"/>
  <c r="M51" i="1" s="1"/>
  <c r="N51" i="1" s="1"/>
  <c r="L52" i="1"/>
  <c r="M52" i="1" s="1"/>
  <c r="N52" i="1" s="1"/>
  <c r="L53" i="1"/>
  <c r="M53" i="1" s="1"/>
  <c r="N53" i="1" s="1"/>
  <c r="L54" i="1"/>
  <c r="M54" i="1" s="1"/>
  <c r="N54" i="1" s="1"/>
  <c r="L55" i="1"/>
  <c r="M55" i="1" s="1"/>
  <c r="N55" i="1" s="1"/>
  <c r="L56" i="1"/>
  <c r="M56" i="1" s="1"/>
  <c r="N56" i="1" s="1"/>
  <c r="L57" i="1"/>
  <c r="M57" i="1" s="1"/>
  <c r="N57" i="1" s="1"/>
  <c r="L58" i="1"/>
  <c r="M58" i="1" s="1"/>
  <c r="N58" i="1" s="1"/>
  <c r="L59" i="1"/>
  <c r="M59" i="1" s="1"/>
  <c r="N59" i="1" s="1"/>
  <c r="L60" i="1"/>
  <c r="M60" i="1" s="1"/>
  <c r="N60" i="1" s="1"/>
  <c r="L61" i="1"/>
  <c r="M61" i="1" s="1"/>
  <c r="N61" i="1" s="1"/>
  <c r="L62" i="1"/>
  <c r="M62" i="1" s="1"/>
  <c r="N62" i="1" s="1"/>
  <c r="L63" i="1"/>
  <c r="M63" i="1" s="1"/>
  <c r="N63" i="1" s="1"/>
  <c r="L64" i="1"/>
  <c r="M64" i="1" s="1"/>
  <c r="N64" i="1" s="1"/>
  <c r="L68" i="1"/>
  <c r="M68" i="1" s="1"/>
  <c r="N68" i="1" s="1"/>
  <c r="D69" i="1"/>
  <c r="E16" i="2" s="1"/>
  <c r="E69" i="1"/>
  <c r="F69" i="1"/>
  <c r="G69" i="1"/>
  <c r="H69" i="1"/>
  <c r="I69" i="1"/>
  <c r="J69" i="1"/>
  <c r="K69" i="1"/>
  <c r="L123" i="1"/>
  <c r="L124" i="1"/>
  <c r="M124" i="1" s="1"/>
  <c r="N124" i="1" s="1"/>
  <c r="L125" i="1"/>
  <c r="M125" i="1" s="1"/>
  <c r="N125" i="1" s="1"/>
  <c r="L126" i="1"/>
  <c r="M126" i="1" s="1"/>
  <c r="N126" i="1" s="1"/>
  <c r="L127" i="1"/>
  <c r="M127" i="1" s="1"/>
  <c r="N127" i="1" s="1"/>
  <c r="L128" i="1"/>
  <c r="M128" i="1" s="1"/>
  <c r="N128" i="1" s="1"/>
  <c r="L129" i="1"/>
  <c r="M129" i="1" s="1"/>
  <c r="N129" i="1" s="1"/>
  <c r="L130" i="1"/>
  <c r="M130" i="1" s="1"/>
  <c r="N130" i="1" s="1"/>
  <c r="L131" i="1"/>
  <c r="M131" i="1" s="1"/>
  <c r="N131" i="1" s="1"/>
  <c r="L132" i="1"/>
  <c r="M132" i="1" s="1"/>
  <c r="N132" i="1" s="1"/>
  <c r="L133" i="1"/>
  <c r="M133" i="1" s="1"/>
  <c r="N133" i="1" s="1"/>
  <c r="L134" i="1"/>
  <c r="M134" i="1" s="1"/>
  <c r="N134" i="1" s="1"/>
  <c r="L135" i="1"/>
  <c r="M135" i="1" s="1"/>
  <c r="N135" i="1" s="1"/>
  <c r="L136" i="1"/>
  <c r="M136" i="1" s="1"/>
  <c r="N136" i="1" s="1"/>
  <c r="L137" i="1"/>
  <c r="M137" i="1" s="1"/>
  <c r="N137" i="1" s="1"/>
  <c r="L138" i="1"/>
  <c r="M138" i="1" s="1"/>
  <c r="N138" i="1" s="1"/>
  <c r="L139" i="1"/>
  <c r="M139" i="1" s="1"/>
  <c r="N139" i="1" s="1"/>
  <c r="L140" i="1"/>
  <c r="M140" i="1" s="1"/>
  <c r="N140" i="1" s="1"/>
  <c r="L141" i="1"/>
  <c r="M141" i="1" s="1"/>
  <c r="N141" i="1" s="1"/>
  <c r="L142" i="1"/>
  <c r="M142" i="1" s="1"/>
  <c r="N142" i="1" s="1"/>
  <c r="L143" i="1"/>
  <c r="M143" i="1" s="1"/>
  <c r="N143" i="1" s="1"/>
  <c r="M144" i="1"/>
  <c r="L145" i="1"/>
  <c r="M145" i="1" s="1"/>
  <c r="N145" i="1" s="1"/>
  <c r="L146" i="1"/>
  <c r="M146" i="1" s="1"/>
  <c r="N146" i="1" s="1"/>
  <c r="L147" i="1"/>
  <c r="M147" i="1" s="1"/>
  <c r="N147" i="1" s="1"/>
  <c r="M148" i="1"/>
  <c r="N148" i="1" s="1"/>
  <c r="L149" i="1"/>
  <c r="M149" i="1" s="1"/>
  <c r="N149" i="1" s="1"/>
  <c r="L150" i="1"/>
  <c r="M150" i="1" s="1"/>
  <c r="N150" i="1" s="1"/>
  <c r="L152" i="1"/>
  <c r="M152" i="1" s="1"/>
  <c r="N152" i="1" s="1"/>
  <c r="L156" i="1"/>
  <c r="M156" i="1" s="1"/>
  <c r="N156" i="1" s="1"/>
  <c r="L157" i="1"/>
  <c r="M157" i="1" s="1"/>
  <c r="N157" i="1" s="1"/>
  <c r="L158" i="1"/>
  <c r="M158" i="1" s="1"/>
  <c r="N158" i="1" s="1"/>
  <c r="L159" i="1"/>
  <c r="M159" i="1" s="1"/>
  <c r="N159" i="1" s="1"/>
  <c r="L160" i="1"/>
  <c r="M160" i="1" s="1"/>
  <c r="N160" i="1" s="1"/>
  <c r="L161" i="1"/>
  <c r="L162" i="1"/>
  <c r="M162" i="1" s="1"/>
  <c r="N162" i="1" s="1"/>
  <c r="L163" i="1"/>
  <c r="M163" i="1" s="1"/>
  <c r="N163" i="1" s="1"/>
  <c r="L164" i="1"/>
  <c r="M164" i="1" s="1"/>
  <c r="N164" i="1" s="1"/>
  <c r="L165" i="1"/>
  <c r="M165" i="1" s="1"/>
  <c r="N165" i="1" s="1"/>
  <c r="L166" i="1"/>
  <c r="M166" i="1" s="1"/>
  <c r="N166" i="1" s="1"/>
  <c r="L167" i="1"/>
  <c r="M167" i="1" s="1"/>
  <c r="N167" i="1" s="1"/>
  <c r="L168" i="1"/>
  <c r="M168" i="1" s="1"/>
  <c r="N168" i="1" s="1"/>
  <c r="L169" i="1"/>
  <c r="M169" i="1" s="1"/>
  <c r="N169" i="1" s="1"/>
  <c r="L170" i="1"/>
  <c r="M170" i="1" s="1"/>
  <c r="N170" i="1" s="1"/>
  <c r="L171" i="1"/>
  <c r="M171" i="1" s="1"/>
  <c r="N171" i="1" s="1"/>
  <c r="L172" i="1"/>
  <c r="M172" i="1" s="1"/>
  <c r="N172" i="1" s="1"/>
  <c r="L173" i="1"/>
  <c r="M173" i="1" s="1"/>
  <c r="N173" i="1" s="1"/>
  <c r="L174" i="1"/>
  <c r="M174" i="1" s="1"/>
  <c r="N174" i="1" s="1"/>
  <c r="L175" i="1"/>
  <c r="M175" i="1" s="1"/>
  <c r="N175" i="1" s="1"/>
  <c r="L176" i="1"/>
  <c r="M176" i="1" s="1"/>
  <c r="N176" i="1" s="1"/>
  <c r="L177" i="1"/>
  <c r="M177" i="1" s="1"/>
  <c r="N177" i="1" s="1"/>
  <c r="L178" i="1"/>
  <c r="M178" i="1" s="1"/>
  <c r="N178" i="1" s="1"/>
  <c r="L179" i="1"/>
  <c r="M179" i="1" s="1"/>
  <c r="N179" i="1" s="1"/>
  <c r="L180" i="1"/>
  <c r="M180" i="1" s="1"/>
  <c r="N180" i="1" s="1"/>
  <c r="L181" i="1"/>
  <c r="M181" i="1" s="1"/>
  <c r="N181" i="1" s="1"/>
  <c r="L182" i="1"/>
  <c r="M182" i="1" s="1"/>
  <c r="N182" i="1" s="1"/>
  <c r="L183" i="1"/>
  <c r="M183" i="1" s="1"/>
  <c r="N183" i="1" s="1"/>
  <c r="L184" i="1"/>
  <c r="M184" i="1" s="1"/>
  <c r="N184" i="1" s="1"/>
  <c r="L185" i="1"/>
  <c r="M185" i="1" s="1"/>
  <c r="N185" i="1" s="1"/>
  <c r="L188" i="1"/>
  <c r="M188" i="1" s="1"/>
  <c r="N188" i="1" s="1"/>
  <c r="L190" i="1"/>
  <c r="M190" i="1" s="1"/>
  <c r="N190" i="1" s="1"/>
  <c r="L191" i="1"/>
  <c r="M191" i="1" s="1"/>
  <c r="N191" i="1" s="1"/>
  <c r="L192" i="1"/>
  <c r="M192" i="1" s="1"/>
  <c r="N192" i="1" s="1"/>
  <c r="L193" i="1"/>
  <c r="M193" i="1" s="1"/>
  <c r="N193" i="1" s="1"/>
  <c r="L194" i="1"/>
  <c r="M194" i="1" s="1"/>
  <c r="N194" i="1" s="1"/>
  <c r="L195" i="1"/>
  <c r="M195" i="1" s="1"/>
  <c r="N195" i="1" s="1"/>
  <c r="L196" i="1"/>
  <c r="M196" i="1" s="1"/>
  <c r="N196" i="1" s="1"/>
  <c r="L197" i="1"/>
  <c r="M197" i="1" s="1"/>
  <c r="N197" i="1" s="1"/>
  <c r="L198" i="1"/>
  <c r="M198" i="1" s="1"/>
  <c r="N198" i="1" s="1"/>
  <c r="L199" i="1"/>
  <c r="M199" i="1" s="1"/>
  <c r="N199" i="1" s="1"/>
  <c r="M200" i="1"/>
  <c r="N200" i="1" s="1"/>
  <c r="L201" i="1"/>
  <c r="M201" i="1" s="1"/>
  <c r="N201" i="1" s="1"/>
  <c r="M202" i="1"/>
  <c r="N202" i="1" s="1"/>
  <c r="M203" i="1"/>
  <c r="N203" i="1" s="1"/>
  <c r="L204" i="1"/>
  <c r="M204" i="1" s="1"/>
  <c r="N204" i="1" s="1"/>
  <c r="L205" i="1"/>
  <c r="M205" i="1" s="1"/>
  <c r="N205" i="1" s="1"/>
  <c r="L206" i="1"/>
  <c r="M206" i="1" s="1"/>
  <c r="N206" i="1" s="1"/>
  <c r="L207" i="1"/>
  <c r="M207" i="1" s="1"/>
  <c r="N207" i="1" s="1"/>
  <c r="L208" i="1"/>
  <c r="M208" i="1" s="1"/>
  <c r="N208" i="1" s="1"/>
  <c r="D209" i="1"/>
  <c r="E19" i="2" s="1"/>
  <c r="E209" i="1"/>
  <c r="F209" i="1"/>
  <c r="G209" i="1"/>
  <c r="H209" i="1"/>
  <c r="I209" i="1"/>
  <c r="J209" i="1"/>
  <c r="K209" i="1"/>
  <c r="M357" i="1"/>
  <c r="N357" i="1" s="1"/>
  <c r="N358" i="1" s="1"/>
  <c r="H23" i="2" s="1"/>
  <c r="D358" i="1"/>
  <c r="E23" i="2" s="1"/>
  <c r="I23" i="2" s="1"/>
  <c r="E358" i="1"/>
  <c r="F358" i="1"/>
  <c r="G358" i="1"/>
  <c r="H358" i="1"/>
  <c r="I358" i="1"/>
  <c r="J358" i="1"/>
  <c r="K358" i="1"/>
  <c r="L360" i="1"/>
  <c r="M360" i="1" s="1"/>
  <c r="L361" i="1"/>
  <c r="M361" i="1" s="1"/>
  <c r="N361" i="1" s="1"/>
  <c r="L362" i="1"/>
  <c r="M362" i="1" s="1"/>
  <c r="N362" i="1" s="1"/>
  <c r="L363" i="1"/>
  <c r="M363" i="1" s="1"/>
  <c r="N363" i="1" s="1"/>
  <c r="L364" i="1"/>
  <c r="M364" i="1" s="1"/>
  <c r="N364" i="1" s="1"/>
  <c r="L365" i="1"/>
  <c r="M365" i="1" s="1"/>
  <c r="N365" i="1" s="1"/>
  <c r="L366" i="1"/>
  <c r="M366" i="1" s="1"/>
  <c r="N366" i="1" s="1"/>
  <c r="L367" i="1"/>
  <c r="M367" i="1" s="1"/>
  <c r="N367" i="1" s="1"/>
  <c r="L368" i="1"/>
  <c r="M368" i="1" s="1"/>
  <c r="N368" i="1" s="1"/>
  <c r="L369" i="1"/>
  <c r="M369" i="1" s="1"/>
  <c r="N369" i="1" s="1"/>
  <c r="L370" i="1"/>
  <c r="M370" i="1" s="1"/>
  <c r="N370" i="1" s="1"/>
  <c r="L371" i="1"/>
  <c r="M371" i="1" s="1"/>
  <c r="N371" i="1" s="1"/>
  <c r="L372" i="1"/>
  <c r="M372" i="1" s="1"/>
  <c r="N372" i="1" s="1"/>
  <c r="L373" i="1"/>
  <c r="M373" i="1" s="1"/>
  <c r="N373" i="1" s="1"/>
  <c r="L374" i="1"/>
  <c r="M374" i="1" s="1"/>
  <c r="N374" i="1" s="1"/>
  <c r="L375" i="1"/>
  <c r="M375" i="1" s="1"/>
  <c r="N375" i="1" s="1"/>
  <c r="L376" i="1"/>
  <c r="M376" i="1" s="1"/>
  <c r="N376" i="1" s="1"/>
  <c r="L377" i="1"/>
  <c r="M377" i="1" s="1"/>
  <c r="N377" i="1" s="1"/>
  <c r="L378" i="1"/>
  <c r="M378" i="1" s="1"/>
  <c r="N378" i="1" s="1"/>
  <c r="L379" i="1"/>
  <c r="M379" i="1" s="1"/>
  <c r="N379" i="1" s="1"/>
  <c r="L380" i="1"/>
  <c r="M380" i="1" s="1"/>
  <c r="N380" i="1" s="1"/>
  <c r="L381" i="1"/>
  <c r="M381" i="1" s="1"/>
  <c r="N381" i="1" s="1"/>
  <c r="M382" i="1"/>
  <c r="N382" i="1" s="1"/>
  <c r="M383" i="1"/>
  <c r="N383" i="1" s="1"/>
  <c r="L384" i="1"/>
  <c r="M384" i="1" s="1"/>
  <c r="N384" i="1" s="1"/>
  <c r="M385" i="1"/>
  <c r="N385" i="1" s="1"/>
  <c r="M386" i="1"/>
  <c r="N386" i="1" s="1"/>
  <c r="L387" i="1"/>
  <c r="M387" i="1" s="1"/>
  <c r="N387" i="1" s="1"/>
  <c r="L388" i="1"/>
  <c r="M388" i="1" s="1"/>
  <c r="N388" i="1" s="1"/>
  <c r="L389" i="1"/>
  <c r="M389" i="1" s="1"/>
  <c r="N389" i="1" s="1"/>
  <c r="L390" i="1"/>
  <c r="M390" i="1" s="1"/>
  <c r="N390" i="1" s="1"/>
  <c r="L391" i="1"/>
  <c r="M391" i="1" s="1"/>
  <c r="N391" i="1" s="1"/>
  <c r="L392" i="1"/>
  <c r="M392" i="1" s="1"/>
  <c r="N392" i="1" s="1"/>
  <c r="M393" i="1"/>
  <c r="N393" i="1" s="1"/>
  <c r="L394" i="1"/>
  <c r="M394" i="1" s="1"/>
  <c r="N394" i="1" s="1"/>
  <c r="M395" i="1"/>
  <c r="N395" i="1" s="1"/>
  <c r="L396" i="1"/>
  <c r="M396" i="1" s="1"/>
  <c r="N396" i="1" s="1"/>
  <c r="L397" i="1"/>
  <c r="M397" i="1" s="1"/>
  <c r="N397" i="1" s="1"/>
  <c r="M398" i="1"/>
  <c r="N398" i="1" s="1"/>
  <c r="M399" i="1"/>
  <c r="N399" i="1" s="1"/>
  <c r="L400" i="1"/>
  <c r="M400" i="1" s="1"/>
  <c r="N400" i="1" s="1"/>
  <c r="L402" i="1"/>
  <c r="M402" i="1" s="1"/>
  <c r="N402" i="1" s="1"/>
  <c r="M403" i="1"/>
  <c r="N403" i="1" s="1"/>
  <c r="M404" i="1"/>
  <c r="N404" i="1" s="1"/>
  <c r="D405" i="1"/>
  <c r="E24" i="2" s="1"/>
  <c r="E405" i="1"/>
  <c r="F405" i="1"/>
  <c r="G405" i="1"/>
  <c r="H405" i="1"/>
  <c r="I405" i="1"/>
  <c r="J405" i="1"/>
  <c r="K405" i="1"/>
  <c r="I22" i="2" l="1"/>
  <c r="I16" i="2"/>
  <c r="E25" i="2"/>
  <c r="I19" i="2"/>
  <c r="I24" i="2"/>
  <c r="E407" i="1"/>
  <c r="E409" i="1" s="1"/>
  <c r="M123" i="1"/>
  <c r="M154" i="1" s="1"/>
  <c r="G18" i="2" s="1"/>
  <c r="L154" i="1"/>
  <c r="F18" i="2" s="1"/>
  <c r="D407" i="1"/>
  <c r="D409" i="1" s="1"/>
  <c r="K407" i="1"/>
  <c r="K409" i="1" s="1"/>
  <c r="F407" i="1"/>
  <c r="F409" i="1" s="1"/>
  <c r="J407" i="1"/>
  <c r="J409" i="1" s="1"/>
  <c r="I407" i="1"/>
  <c r="I409" i="1" s="1"/>
  <c r="H407" i="1"/>
  <c r="H409" i="1" s="1"/>
  <c r="G407" i="1"/>
  <c r="G409" i="1" s="1"/>
  <c r="N144" i="1"/>
  <c r="M354" i="1"/>
  <c r="G22" i="2" s="1"/>
  <c r="N315" i="1"/>
  <c r="N354" i="1" s="1"/>
  <c r="H22" i="2" s="1"/>
  <c r="L354" i="1"/>
  <c r="F22" i="2" s="1"/>
  <c r="L358" i="1"/>
  <c r="F23" i="2" s="1"/>
  <c r="M358" i="1"/>
  <c r="G23" i="2" s="1"/>
  <c r="L405" i="1"/>
  <c r="F24" i="2" s="1"/>
  <c r="M161" i="1"/>
  <c r="L209" i="1"/>
  <c r="F19" i="2" s="1"/>
  <c r="M405" i="1"/>
  <c r="N360" i="1"/>
  <c r="N405" i="1" s="1"/>
  <c r="M7" i="1"/>
  <c r="N7" i="1" s="1"/>
  <c r="L69" i="1"/>
  <c r="F16" i="2" s="1"/>
  <c r="N2" i="1"/>
  <c r="I25" i="2" l="1"/>
  <c r="I29" i="2" s="1"/>
  <c r="E29" i="2"/>
  <c r="N123" i="1"/>
  <c r="N154" i="1" s="1"/>
  <c r="H18" i="2" s="1"/>
  <c r="L407" i="1"/>
  <c r="L409" i="1" s="1"/>
  <c r="G24" i="2"/>
  <c r="H24" i="2"/>
  <c r="M69" i="1"/>
  <c r="N161" i="1"/>
  <c r="N209" i="1" s="1"/>
  <c r="H19" i="2" s="1"/>
  <c r="M209" i="1"/>
  <c r="G19" i="2" s="1"/>
  <c r="N69" i="1"/>
  <c r="M407" i="1" l="1"/>
  <c r="M409" i="1" s="1"/>
  <c r="N407" i="1"/>
  <c r="N409" i="1" s="1"/>
  <c r="F25" i="2"/>
  <c r="H16" i="2"/>
  <c r="H25" i="2" s="1"/>
  <c r="G16" i="2"/>
  <c r="G25" i="2" s="1"/>
  <c r="M7" i="4"/>
  <c r="N7" i="4" s="1"/>
  <c r="N99" i="4"/>
  <c r="H34" i="2" s="1"/>
  <c r="M99" i="4"/>
  <c r="G34" i="2" s="1"/>
  <c r="L99" i="4"/>
  <c r="F34" i="2" s="1"/>
  <c r="K99" i="4"/>
  <c r="J99" i="4"/>
  <c r="I99" i="4"/>
  <c r="H99" i="4"/>
  <c r="G99" i="4"/>
  <c r="F99" i="4"/>
  <c r="E99" i="4"/>
  <c r="D99" i="4"/>
  <c r="N96" i="4"/>
  <c r="H36" i="2" s="1"/>
  <c r="M96" i="4"/>
  <c r="G36" i="2" s="1"/>
  <c r="L96" i="4"/>
  <c r="F36" i="2" s="1"/>
  <c r="K96" i="4"/>
  <c r="J96" i="4"/>
  <c r="I96" i="4"/>
  <c r="H96" i="4"/>
  <c r="G96" i="4"/>
  <c r="F96" i="4"/>
  <c r="E96" i="4"/>
  <c r="D96" i="4"/>
  <c r="N90" i="4"/>
  <c r="M90" i="4"/>
  <c r="L90" i="4"/>
  <c r="K90" i="4"/>
  <c r="J90" i="4"/>
  <c r="I90" i="4"/>
  <c r="H90" i="4"/>
  <c r="G90" i="4"/>
  <c r="F90" i="4"/>
  <c r="E90" i="4"/>
  <c r="D90" i="4"/>
  <c r="N53" i="4"/>
  <c r="G35" i="2" l="1"/>
  <c r="H35" i="2"/>
  <c r="F35" i="2"/>
  <c r="F33" i="2"/>
  <c r="F44" i="2"/>
  <c r="F45" i="2" s="1"/>
  <c r="H33" i="2"/>
  <c r="H44" i="2"/>
  <c r="H45" i="2" s="1"/>
  <c r="G44" i="2"/>
  <c r="G45" i="2" s="1"/>
  <c r="G33" i="2"/>
  <c r="C32" i="5"/>
  <c r="D30" i="5"/>
  <c r="E30" i="5" s="1"/>
  <c r="D28" i="5"/>
  <c r="E28" i="5" s="1"/>
  <c r="D27" i="5"/>
  <c r="E27" i="5" s="1"/>
  <c r="D26" i="5"/>
  <c r="E26" i="5" s="1"/>
  <c r="D25" i="5"/>
  <c r="E25" i="5" s="1"/>
  <c r="D24" i="5"/>
  <c r="E24" i="5" s="1"/>
  <c r="D22" i="5"/>
  <c r="E22" i="5" s="1"/>
  <c r="D20" i="5"/>
  <c r="E20" i="5" s="1"/>
  <c r="D19" i="5"/>
  <c r="E19" i="5" s="1"/>
  <c r="D18" i="5"/>
  <c r="D17" i="5"/>
  <c r="E17" i="5" s="1"/>
  <c r="D16" i="5"/>
  <c r="E16" i="5" s="1"/>
  <c r="D13" i="5"/>
  <c r="D12" i="5"/>
  <c r="E12" i="5" s="1"/>
  <c r="D11" i="5"/>
  <c r="D10" i="5"/>
  <c r="E10" i="5" s="1"/>
  <c r="D9" i="5"/>
  <c r="D7" i="5"/>
  <c r="E7" i="5" s="1"/>
  <c r="D3" i="5"/>
  <c r="D32" i="5" s="1"/>
  <c r="E3" i="5" l="1"/>
  <c r="E32" i="5" s="1"/>
  <c r="M28" i="3"/>
  <c r="M7" i="3"/>
  <c r="N7" i="3" s="1"/>
  <c r="M8" i="3"/>
  <c r="N8" i="3" s="1"/>
  <c r="M11" i="3"/>
  <c r="N11" i="3" s="1"/>
  <c r="M5" i="3"/>
  <c r="L34" i="3"/>
  <c r="F10" i="2" s="1"/>
  <c r="M18" i="3"/>
  <c r="N18" i="3" s="1"/>
  <c r="M19" i="3"/>
  <c r="N19" i="3" s="1"/>
  <c r="M21" i="3"/>
  <c r="N21" i="3" s="1"/>
  <c r="L23" i="3"/>
  <c r="M23" i="3" s="1"/>
  <c r="N23" i="3" s="1"/>
  <c r="M24" i="3"/>
  <c r="N24" i="3" s="1"/>
  <c r="M25" i="3"/>
  <c r="N25" i="3" s="1"/>
  <c r="M26" i="3"/>
  <c r="N26" i="3" s="1"/>
  <c r="M27" i="3"/>
  <c r="N27" i="3" s="1"/>
  <c r="M29" i="3"/>
  <c r="N29" i="3" s="1"/>
  <c r="M9" i="3"/>
  <c r="N9" i="3" s="1"/>
  <c r="M10" i="3"/>
  <c r="N10" i="3" s="1"/>
  <c r="M12" i="3"/>
  <c r="N12" i="3" s="1"/>
  <c r="M13" i="3"/>
  <c r="N13" i="3" s="1"/>
  <c r="M14" i="3"/>
  <c r="N14" i="3" s="1"/>
  <c r="M6" i="3"/>
  <c r="N6" i="3" s="1"/>
  <c r="N34" i="4"/>
  <c r="N102" i="4" s="1"/>
  <c r="M34" i="4"/>
  <c r="M102" i="4" s="1"/>
  <c r="L34" i="4"/>
  <c r="L102" i="4" s="1"/>
  <c r="K34" i="4"/>
  <c r="K102" i="4" s="1"/>
  <c r="J34" i="4"/>
  <c r="J102" i="4" s="1"/>
  <c r="I34" i="4"/>
  <c r="I102" i="4" s="1"/>
  <c r="H34" i="4"/>
  <c r="H102" i="4" s="1"/>
  <c r="G34" i="4"/>
  <c r="G102" i="4" s="1"/>
  <c r="F34" i="4"/>
  <c r="F102" i="4" s="1"/>
  <c r="E34" i="4"/>
  <c r="E102" i="4" s="1"/>
  <c r="D34" i="4"/>
  <c r="D102" i="4" s="1"/>
  <c r="M17" i="3" l="1"/>
  <c r="N17" i="3" s="1"/>
  <c r="L30" i="3"/>
  <c r="F11" i="2" s="1"/>
  <c r="N28" i="3"/>
  <c r="L15" i="3"/>
  <c r="F9" i="2" s="1"/>
  <c r="H37" i="2"/>
  <c r="H38" i="2" s="1"/>
  <c r="H27" i="2"/>
  <c r="G27" i="2"/>
  <c r="G37" i="2"/>
  <c r="G38" i="2" s="1"/>
  <c r="F27" i="2"/>
  <c r="F37" i="2"/>
  <c r="F38" i="2" s="1"/>
  <c r="M15" i="3"/>
  <c r="N5" i="3"/>
  <c r="M30" i="3" l="1"/>
  <c r="G11" i="2" s="1"/>
  <c r="N30" i="3"/>
  <c r="H11" i="2" s="1"/>
  <c r="M34" i="3"/>
  <c r="G10" i="2" s="1"/>
  <c r="N34" i="3"/>
  <c r="H10" i="2" s="1"/>
  <c r="N15" i="3"/>
  <c r="H9" i="2" s="1"/>
  <c r="G9" i="2"/>
  <c r="M43" i="3"/>
  <c r="G12" i="2" s="1"/>
  <c r="N43" i="3"/>
  <c r="H12" i="2" s="1"/>
  <c r="L43" i="3"/>
  <c r="F12" i="2" s="1"/>
  <c r="F13" i="2" s="1"/>
  <c r="F29" i="2" s="1"/>
  <c r="M49" i="3"/>
  <c r="N49" i="3"/>
  <c r="L49" i="3"/>
  <c r="D49" i="3"/>
  <c r="E49" i="3"/>
  <c r="F49" i="3"/>
  <c r="G49" i="3"/>
  <c r="H49" i="3"/>
  <c r="I49" i="3"/>
  <c r="J49" i="3"/>
  <c r="K49" i="3"/>
  <c r="D43" i="3"/>
  <c r="E43" i="3"/>
  <c r="F43" i="3"/>
  <c r="G43" i="3"/>
  <c r="H43" i="3"/>
  <c r="I43" i="3"/>
  <c r="J43" i="3"/>
  <c r="K43" i="3"/>
  <c r="D34" i="3"/>
  <c r="E34" i="3"/>
  <c r="F34" i="3"/>
  <c r="G34" i="3"/>
  <c r="H34" i="3"/>
  <c r="I34" i="3"/>
  <c r="J34" i="3"/>
  <c r="K34" i="3"/>
  <c r="D30" i="3"/>
  <c r="D15" i="3"/>
  <c r="E15" i="3"/>
  <c r="F15" i="3"/>
  <c r="G15" i="3"/>
  <c r="H15" i="3"/>
  <c r="I15" i="3"/>
  <c r="J15" i="3"/>
  <c r="K15" i="3"/>
  <c r="H13" i="2" l="1"/>
  <c r="H29" i="2" s="1"/>
  <c r="G13" i="2"/>
  <c r="G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Kgaki Boshigo</author>
  </authors>
  <commentList>
    <comment ref="O399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Kgaki Boshigo:</t>
        </r>
        <r>
          <rPr>
            <sz val="9"/>
            <color indexed="81"/>
            <rFont val="Tahoma"/>
            <family val="2"/>
          </rPr>
          <t xml:space="preserve">
R1 600 000 X 12 Months
=19 200 000.00</t>
        </r>
      </text>
    </comment>
    <comment ref="O40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Kgaki Boshigo:</t>
        </r>
        <r>
          <rPr>
            <sz val="9"/>
            <color indexed="81"/>
            <rFont val="Tahoma"/>
            <family val="2"/>
          </rPr>
          <t xml:space="preserve">
1.Postage R370 000x 4 quarter =R1 480 000.00
2.Photocoper R2 160 000.00
3. R3 640 000.00</t>
        </r>
      </text>
    </comment>
  </commentList>
</comments>
</file>

<file path=xl/sharedStrings.xml><?xml version="1.0" encoding="utf-8"?>
<sst xmlns="http://schemas.openxmlformats.org/spreadsheetml/2006/main" count="1658" uniqueCount="931">
  <si>
    <t>Typ</t>
  </si>
  <si>
    <t>Votenumber</t>
  </si>
  <si>
    <t>Description</t>
  </si>
  <si>
    <t>Budget</t>
  </si>
  <si>
    <t>Open/Bal</t>
  </si>
  <si>
    <t>Curr Mth Exp</t>
  </si>
  <si>
    <t>Commitment</t>
  </si>
  <si>
    <t>YTD Movement</t>
  </si>
  <si>
    <t>Close/Bal</t>
  </si>
  <si>
    <t>Unspend Bud</t>
  </si>
  <si>
    <t>Perc</t>
  </si>
  <si>
    <t>P</t>
  </si>
  <si>
    <t>31052110010EQMRCZZHO</t>
  </si>
  <si>
    <t>MS: SAL &amp; ALL: BASIC SALARY &amp; WAGES</t>
  </si>
  <si>
    <t>31052110220EQMRCZZHO</t>
  </si>
  <si>
    <t>MS: ALL - CELLULAR &amp; TELEPHONE</t>
  </si>
  <si>
    <t>31052110260EQMRCZZHO</t>
  </si>
  <si>
    <t>MS: HB &amp; INC: HOUSING BENEFITS</t>
  </si>
  <si>
    <t>31052110320EQMRCZZHO</t>
  </si>
  <si>
    <t>MS: ALL - LEAVE PAY</t>
  </si>
  <si>
    <t>31052110340EQMRCZZHO</t>
  </si>
  <si>
    <t>MS: ALL - TRAVEL OR MOTOR VEHICLE</t>
  </si>
  <si>
    <t>31052110380EQMRCZZHO</t>
  </si>
  <si>
    <t>MS: OVERTIME - STRUCTURED</t>
  </si>
  <si>
    <t>31052110400EQMRCZZHO</t>
  </si>
  <si>
    <t>MS: PAYMENTS - SHIFT ADD REMUNERATION</t>
  </si>
  <si>
    <t>31052110560EQMRCZZHO</t>
  </si>
  <si>
    <t>MS: SRB - STANDBY ALLOWANCE</t>
  </si>
  <si>
    <t>31052110600EQMRCZZHO</t>
  </si>
  <si>
    <t>MS: SRB - UNIFORM/SPEC/PROTEC CLOTHING</t>
  </si>
  <si>
    <t>31052130010EQMRCZZHO</t>
  </si>
  <si>
    <t>MS: SOC CONTR - BARGAINING COUNCIL</t>
  </si>
  <si>
    <t>31052130010PRMRCZZHO</t>
  </si>
  <si>
    <t>31052130100EQMRCZZHO</t>
  </si>
  <si>
    <t>MS: SOC CONTR - GROUP LIFE INSURANCE</t>
  </si>
  <si>
    <t>31052130200EQMRCZZHO</t>
  </si>
  <si>
    <t>MS: SOC CONTR - MEDICAL</t>
  </si>
  <si>
    <t>31052130300EQMRCZZHO</t>
  </si>
  <si>
    <t>MS: SOC CONTR - PENSION</t>
  </si>
  <si>
    <t>31052130400EQMRCZZHO</t>
  </si>
  <si>
    <t>MS: SOC CONTR - UNEMPLOYMENT INSUR FUND</t>
  </si>
  <si>
    <t>31052142180EQMRCZZHO</t>
  </si>
  <si>
    <t>MS: PRB - OTHER: LEAVE GRATUITY</t>
  </si>
  <si>
    <t>31052142200EQMRCZZHO</t>
  </si>
  <si>
    <t>MS: PRB - OTHER: LONG TERM SERVICE AWARD</t>
  </si>
  <si>
    <t>31052210100EQMRCZZHO</t>
  </si>
  <si>
    <t>SPEAKER: BASIC SALARY</t>
  </si>
  <si>
    <t>31052210120EQMRCZZHO</t>
  </si>
  <si>
    <t>SPEAKER: CELL PHONE ALLOWANCE</t>
  </si>
  <si>
    <t>31052210350EQMRCZZHO</t>
  </si>
  <si>
    <t>WHIP: TRAVELLING ALLOWANCE</t>
  </si>
  <si>
    <t>31052210400EQMRCZZHO</t>
  </si>
  <si>
    <t>WHIP: BASIC SALARY</t>
  </si>
  <si>
    <t>31052210420EQMRCZZHO</t>
  </si>
  <si>
    <t>WHIP: CELL PHONE ALLOWANCE</t>
  </si>
  <si>
    <t>31052210700EQMRCZZHO</t>
  </si>
  <si>
    <t>EXEC MAYOR: BASIC SALARY</t>
  </si>
  <si>
    <t>31052210720EQMRCZZHO</t>
  </si>
  <si>
    <t>EXEC MAYOR: CELL PHONE ALLOWANCE</t>
  </si>
  <si>
    <t>31052211250EQMRCZZHO</t>
  </si>
  <si>
    <t>EXCO: TRAVELLING ALLOWANCE</t>
  </si>
  <si>
    <t>31052211300EQMRCZZHO</t>
  </si>
  <si>
    <t>EXCO: BASIC SALARY</t>
  </si>
  <si>
    <t>31052211320EQMRCZZHO</t>
  </si>
  <si>
    <t>EXCO: CELL PHONE ALLOWANCE</t>
  </si>
  <si>
    <t>31052211550EQMRCZZHO</t>
  </si>
  <si>
    <t>OTH COUNCIL: TRAVELLING ALLOWANCE</t>
  </si>
  <si>
    <t>31052211600EQMRCZZHO</t>
  </si>
  <si>
    <t>OTH COUNCIL: BASIC SALARY</t>
  </si>
  <si>
    <t>31052211620EQMRCZZHO</t>
  </si>
  <si>
    <t>OTH COUNCIL: CELL PHONE ALLOWANCE</t>
  </si>
  <si>
    <t>31052220050EQMRCZZHO</t>
  </si>
  <si>
    <t>SPEAKER: PENSION FUND CONTRIBUTIONS</t>
  </si>
  <si>
    <t>31052220100EQMRCZZHO</t>
  </si>
  <si>
    <t>SPEAKER: MEDICAL AID BENEFITS</t>
  </si>
  <si>
    <t>31052220350EQMRCZZHO</t>
  </si>
  <si>
    <t>WHIP: PENSION FUND CONTRIBUTIONS</t>
  </si>
  <si>
    <t>31052220400EQMRCZZHO</t>
  </si>
  <si>
    <t>WHIP: MEDICAL AID BENEFITS</t>
  </si>
  <si>
    <t>31052220650EQMRCZZHO</t>
  </si>
  <si>
    <t>EXEC MAYOR: PENSION FUND CONTRIBUTIONS</t>
  </si>
  <si>
    <t>31052221250EQMRCZZHO</t>
  </si>
  <si>
    <t>EXCO: PENSION FUND CONTRIBUTIONS</t>
  </si>
  <si>
    <t>31052221300EQMRCZZHO</t>
  </si>
  <si>
    <t>EXCO: MEDICAL AID BENEFITS</t>
  </si>
  <si>
    <t>31052221550EQMRCZZHO</t>
  </si>
  <si>
    <t>OTH COUNCIL: PENSION FUND CONTRIBUTIONS</t>
  </si>
  <si>
    <t>31052260600EQMRCZZHO</t>
  </si>
  <si>
    <t>OS: CATERING SERVICES</t>
  </si>
  <si>
    <t>31052260600EQP06ZZWD</t>
  </si>
  <si>
    <t>31052260600EQP16ZZWD</t>
  </si>
  <si>
    <t>31052260600EQP29ZZHO</t>
  </si>
  <si>
    <t>31052260600EQP66ZZHO</t>
  </si>
  <si>
    <t>31052260600EQP81ZZHO</t>
  </si>
  <si>
    <t>31052260600EQQ09ZZHO</t>
  </si>
  <si>
    <t>31052285430EQP25ZZWD</t>
  </si>
  <si>
    <t>CONTR: STAGE &amp; SOUND CREW</t>
  </si>
  <si>
    <t>31052300460EQMRCZZHO</t>
  </si>
  <si>
    <t>OC: BARGAINING COUNCIL</t>
  </si>
  <si>
    <t>31052301610EQMRCZZHO</t>
  </si>
  <si>
    <t>OC: ENTERTAINMENT - COUNCILLORS</t>
  </si>
  <si>
    <t>31052301870EQMRCZZHO</t>
  </si>
  <si>
    <t>OC: HIRE CHARGES</t>
  </si>
  <si>
    <t>31052301870EQP06ZZWD</t>
  </si>
  <si>
    <t>31052301870EQP16ZZWD</t>
  </si>
  <si>
    <t>31052301870EQP66ZZHO</t>
  </si>
  <si>
    <t>31052305410EQMRCZZHO</t>
  </si>
  <si>
    <t>OC: SKILLS DEVELOPMENT FUND LEVY</t>
  </si>
  <si>
    <t>31052305730EQMRCZZHO</t>
  </si>
  <si>
    <t>OC: TRANSPORT - EVENTS</t>
  </si>
  <si>
    <t>31052305760EQMRCZZHO</t>
  </si>
  <si>
    <t>OC: T&amp;S DOM - ACCOMMODATION</t>
  </si>
  <si>
    <t>31052305760EQP07ZZHO</t>
  </si>
  <si>
    <t>31052305760EQP16ZZWD</t>
  </si>
  <si>
    <t>31052305760EQP66ZZHO</t>
  </si>
  <si>
    <t>31052305810EQP06ZZWD</t>
  </si>
  <si>
    <t>OC: T&amp;S DOM TRP - W/OUT OPR OWN TRANSPRT</t>
  </si>
  <si>
    <t>31052305810EQP07ZZHO</t>
  </si>
  <si>
    <t>31052305810EQP16ZZWD</t>
  </si>
  <si>
    <t>31052305810EQP25ZZWD</t>
  </si>
  <si>
    <t>31052305980EQP66ZZHO</t>
  </si>
  <si>
    <t>OC: TRANSPORT - MUNICIPAL ACTIVITIES</t>
  </si>
  <si>
    <t>31102110340EQMRCZZHO</t>
  </si>
  <si>
    <t>32052110010EQMRCZZHO</t>
  </si>
  <si>
    <t>32052110220EQMRCZZHO</t>
  </si>
  <si>
    <t>32052110260EQMRCZZHO</t>
  </si>
  <si>
    <t>32052110320EQMRCZZHO</t>
  </si>
  <si>
    <t>32052110340EQMRCZZHO</t>
  </si>
  <si>
    <t>MS: OVERTIME - NON STRUCTURED</t>
  </si>
  <si>
    <t>32052110380EQMRCZZHO</t>
  </si>
  <si>
    <t>32052110400EQMRCZZHO</t>
  </si>
  <si>
    <t>32052110560EQMRCZZHO</t>
  </si>
  <si>
    <t>32052110600EQMRCZZHO</t>
  </si>
  <si>
    <t>32052130010EQMRCZZHO</t>
  </si>
  <si>
    <t>32052130100EQMRCZZHO</t>
  </si>
  <si>
    <t>32052130200EQMRCZZHO</t>
  </si>
  <si>
    <t>32052130300EQMRCZZHO</t>
  </si>
  <si>
    <t>32052130400EQMRCZZHO</t>
  </si>
  <si>
    <t>32052142200EQMRCZZHO</t>
  </si>
  <si>
    <t>32052260600EQMRCZZHO</t>
  </si>
  <si>
    <t>32052260600EQP03ZZWD</t>
  </si>
  <si>
    <t>32052260600EQP21ZZWD</t>
  </si>
  <si>
    <t>32052260600EQP29ZZHO</t>
  </si>
  <si>
    <t>32052260600EQP39ZZWD</t>
  </si>
  <si>
    <t>32052260600EQP64ZZHO</t>
  </si>
  <si>
    <t>32052260600EQP69ZZWD</t>
  </si>
  <si>
    <t>32052260600EQP71ZZWD</t>
  </si>
  <si>
    <t>32052260600PRP62ZZWD</t>
  </si>
  <si>
    <t>32052260610EQMRCZZHO</t>
  </si>
  <si>
    <t>32052280050EQP39ZZWD</t>
  </si>
  <si>
    <t>CONTR: AUDIO-VISUAL SERVICES</t>
  </si>
  <si>
    <t>32052285430PRP62ZZWD</t>
  </si>
  <si>
    <t>32052300130PRMRCZZHO</t>
  </si>
  <si>
    <t>OC: ADV/PUB/MARK - CUSTOMER/CLIENT INFO</t>
  </si>
  <si>
    <t>32052300150EQMRCZZHO</t>
  </si>
  <si>
    <t>OC: ADV/PUB/MARK - MUNICIPAL NEWSLETTERS</t>
  </si>
  <si>
    <t>32052300180EQMRCZZHO</t>
  </si>
  <si>
    <t>OC: ADV/PUB/MARK - TENDERS</t>
  </si>
  <si>
    <t>32052301600EQMRCZZHO</t>
  </si>
  <si>
    <t>OC: ENTERTAINMENT - EXEC MAYOR</t>
  </si>
  <si>
    <t>32052301810EQQ08ZZHO</t>
  </si>
  <si>
    <t>32052301870EQP03ZZHO</t>
  </si>
  <si>
    <t>32052301870EQP09ZZWD</t>
  </si>
  <si>
    <t>32052305410EQMRCZZHO</t>
  </si>
  <si>
    <t>32052305760EQMRCZZHO</t>
  </si>
  <si>
    <t>32052305760EQP11ZZHO</t>
  </si>
  <si>
    <t>32052305870EQMRCZZHO</t>
  </si>
  <si>
    <t>OC: T&amp;S FOREIGN - ACCOMMODATION</t>
  </si>
  <si>
    <t>32052381500EQMRCZZHO</t>
  </si>
  <si>
    <t>OPR LEASES: FURNITURE &amp; OFFICE EQUIPMENT</t>
  </si>
  <si>
    <t>33052030050EQMRCZZHO</t>
  </si>
  <si>
    <t>SM MM: SAL &amp; ALL -  BASIC SALARY</t>
  </si>
  <si>
    <t>33052030070EQMRCZZHO</t>
  </si>
  <si>
    <t>SM MM: ALLOW - CELLULAR &amp; TELEPHONE</t>
  </si>
  <si>
    <t>33052030090EQMRCZZHO</t>
  </si>
  <si>
    <t>SM MM: ALLOW - TRAVEL OR MOTOR VEHICLE</t>
  </si>
  <si>
    <t>33052050220EQMRCZZHO</t>
  </si>
  <si>
    <t>SM MM: SOC CONTR: PENSION FUNDS</t>
  </si>
  <si>
    <t>33052050230EQMRCZZHO</t>
  </si>
  <si>
    <t>SM MM: SOC CONTR: UIF</t>
  </si>
  <si>
    <t>33052110010EQMRCZZHO</t>
  </si>
  <si>
    <t>33052110220EQMRCZZHO</t>
  </si>
  <si>
    <t>33052110260EQMRCZZHO</t>
  </si>
  <si>
    <t>33052110320EQMRCZZHO</t>
  </si>
  <si>
    <t>33052110340EQMRCZZHO</t>
  </si>
  <si>
    <t>33052110380EQMRCZZHO</t>
  </si>
  <si>
    <t>33052110560EQMRCZZHO</t>
  </si>
  <si>
    <t>33052130010EQMRCZZHO</t>
  </si>
  <si>
    <t>33052130100EQMRCZZHO</t>
  </si>
  <si>
    <t>33052130200EQMRCZZHO</t>
  </si>
  <si>
    <t>33052130300EQMRCZZHO</t>
  </si>
  <si>
    <t>33052130400EQMRCZZHO</t>
  </si>
  <si>
    <t>33052142180EQMRCZZHO</t>
  </si>
  <si>
    <t>33052142200EQMRCZZHO</t>
  </si>
  <si>
    <t>33052270320EQMRCZZHO</t>
  </si>
  <si>
    <t>C&amp;PS: B&amp;A AUDIT COMMITTEE</t>
  </si>
  <si>
    <t>33052273340EQMRCZZHO</t>
  </si>
  <si>
    <t>C&amp;PS: LEGAL COST ADVICE &amp; LITIGATION</t>
  </si>
  <si>
    <t>33052285400EQMRCZZHO</t>
  </si>
  <si>
    <t>CONTR: SAFEGUARD &amp; SECURITY</t>
  </si>
  <si>
    <t>33052300200EQMRCZZHO</t>
  </si>
  <si>
    <t>OC: AUDIT COST:  EXTERNAL</t>
  </si>
  <si>
    <t>33052300400EQMRCZZHO</t>
  </si>
  <si>
    <t>OC: BC/FAC/C FEES - BANK ACCOUNTS</t>
  </si>
  <si>
    <t>33052301870EQMRCZZWD</t>
  </si>
  <si>
    <t>33052302440EQMRCZZHO</t>
  </si>
  <si>
    <t>OC: INSUR UNDER - EXCESS PAYMENTS</t>
  </si>
  <si>
    <t>33052302460EQMRCZZHO</t>
  </si>
  <si>
    <t>OC: INSUR UNDER - PREMIUMS</t>
  </si>
  <si>
    <t>33052305410EQMRCZZHO</t>
  </si>
  <si>
    <t>33052305760EQMRCZZHO</t>
  </si>
  <si>
    <t>34051035600SCZZZZZWD</t>
  </si>
  <si>
    <t>SURCHARGES &amp; TAXES - SURCHARGES</t>
  </si>
  <si>
    <t>34051040020FPZZZZZWD</t>
  </si>
  <si>
    <t>34051040090FPZZZZZWD</t>
  </si>
  <si>
    <t>FINES: TRAFFIC - SERVICE PROVIDER</t>
  </si>
  <si>
    <t>34051040510FPZZZZZWD</t>
  </si>
  <si>
    <t>PENALTIES: DISCONNECTION FEES</t>
  </si>
  <si>
    <t>34051178910EPZZZZZWD</t>
  </si>
  <si>
    <t>TS_O_M_NG_EPWP GRANT</t>
  </si>
  <si>
    <t>34051178950FMZZZZZWD</t>
  </si>
  <si>
    <t>TS_O_M_NG_LOCAL GOV FIN MNG GRANT</t>
  </si>
  <si>
    <t>34051178970MIZZZZZWD</t>
  </si>
  <si>
    <t>TS_O_M_NG_MIG GRANT</t>
  </si>
  <si>
    <t>34051179100EQZZZZZWD</t>
  </si>
  <si>
    <t>TS_O_M_NRF_EQUITABLE SHARE</t>
  </si>
  <si>
    <t>34051179440TRZZZZZHO</t>
  </si>
  <si>
    <t>TS_O_M_DPAA_NDA_EDUC;TR&amp;DEV SETA</t>
  </si>
  <si>
    <t>34051219400ETZZZZZHO</t>
  </si>
  <si>
    <t>NAT DPT AGEN - TRAIN &amp; DEVEL PRAC SETA</t>
  </si>
  <si>
    <t>34051258940MGZZZZZWD</t>
  </si>
  <si>
    <t>TS_C_M_NG_MIG GRANT</t>
  </si>
  <si>
    <t>TS_C_M_NG_RBIG GRANT</t>
  </si>
  <si>
    <t>34051259000RBZZZZZWD</t>
  </si>
  <si>
    <t>34051259010RRZZZZZHO</t>
  </si>
  <si>
    <t>TS_C_M_NG_RURAL ROAD ASSET MNG SYS GRANT</t>
  </si>
  <si>
    <t>34051259030WSZZZZZHO</t>
  </si>
  <si>
    <t>TS_C_M_NG_WSIG GRANT</t>
  </si>
  <si>
    <t>34051259400F3ZZZZZWD</t>
  </si>
  <si>
    <t>PRV DPT AGEN - GOVERN MOTOR TRANSPORT</t>
  </si>
  <si>
    <t>34051321040ELZZZZZHO</t>
  </si>
  <si>
    <t>ELEC: CONNEC/RECON DISCONN/RECONN FEES</t>
  </si>
  <si>
    <t>34051323010WWZZZZZWD</t>
  </si>
  <si>
    <t>WASTE WATER MANG: TREATMENT OF EFFLUENT</t>
  </si>
  <si>
    <t>34051323060WWZZZZZWD</t>
  </si>
  <si>
    <t>WASTE WATER MANG: AVAILABILITY CHARGES</t>
  </si>
  <si>
    <t>34051323080WWZZZZZWD</t>
  </si>
  <si>
    <t>WASTE WATER M: PUMP/REMOVAL WASTE WATER</t>
  </si>
  <si>
    <t>34051324000WTZZZZZWD</t>
  </si>
  <si>
    <t>WATER: CONNECTION/RECONNECTION</t>
  </si>
  <si>
    <t>34051324020WTZZZZZWD</t>
  </si>
  <si>
    <t>WATER: SALE - CONVENTIONAL</t>
  </si>
  <si>
    <t>34051324030WTZZZZZWD</t>
  </si>
  <si>
    <t>WATER: SALE - PREPAID</t>
  </si>
  <si>
    <t>34051324070WTZZZZZWD</t>
  </si>
  <si>
    <t>WATER: AVAILABILITY CHARGES</t>
  </si>
  <si>
    <t>34051341090IDZZZZZHO</t>
  </si>
  <si>
    <t>INTER: RECEIV - SERVICE CHARGES</t>
  </si>
  <si>
    <t>34051341150XTZZZZZHO</t>
  </si>
  <si>
    <t>INTER: BANK ACCOUNTS</t>
  </si>
  <si>
    <t>34051341170XTZZZZZHO</t>
  </si>
  <si>
    <t>INTER: SHORT TERM INVEST &amp; CALL ACCOUNTS</t>
  </si>
  <si>
    <t>34051380300ORZZZZZHO</t>
  </si>
  <si>
    <t>BAD DEBTS RECOVERED</t>
  </si>
  <si>
    <t>34051380600ORZZZZZWD</t>
  </si>
  <si>
    <t>COLLECTION CHARGES</t>
  </si>
  <si>
    <t>34051380900ORZZZZZWD</t>
  </si>
  <si>
    <t>DISCOUNTS &amp; EARLY SETTLEMENTS</t>
  </si>
  <si>
    <t>34051382400ORZZZZZWD</t>
  </si>
  <si>
    <t>INCIDENTAL CASH SURPLUSES</t>
  </si>
  <si>
    <t>34051385240ORZZZZZWD</t>
  </si>
  <si>
    <t>INSURANCE REFUND</t>
  </si>
  <si>
    <t>34051420020SGZZZZZHO</t>
  </si>
  <si>
    <t>ACADDEMIC SERVICES: FORMAL TRAINING</t>
  </si>
  <si>
    <t>34051421500SGZZZZZHO</t>
  </si>
  <si>
    <t>FIRE SERVICES</t>
  </si>
  <si>
    <t>34051422100SGZZZZZHO</t>
  </si>
  <si>
    <t>HEALTH SERVICES</t>
  </si>
  <si>
    <t>34051425510SGZZZZZHO</t>
  </si>
  <si>
    <t>SALE OF: PUBLICATION - TENDER DOCUMENTS</t>
  </si>
  <si>
    <t>34052030450EQMRCZZHO</t>
  </si>
  <si>
    <t>SM CFO: SAL &amp; ALL -  BASIC SALARY</t>
  </si>
  <si>
    <t>34052030470EQMRCZZHO</t>
  </si>
  <si>
    <t>SM CFO: ALLOW - CELLULAR &amp; TELEPHONE</t>
  </si>
  <si>
    <t>34052030490EQMRCZZHO</t>
  </si>
  <si>
    <t>SM CFO: ALLOW - TRAVEL OR MOTOR VEHICLE</t>
  </si>
  <si>
    <t>34052030500EQMRCZZHO</t>
  </si>
  <si>
    <t>SM CFO: ALLOW - ACCOM TRAVEL &amp; INCIDENT.</t>
  </si>
  <si>
    <t>34052030550EQMRCZZHO</t>
  </si>
  <si>
    <t>SM CFO: SRB - PAYMENTS IN LIEU OF LEAVE</t>
  </si>
  <si>
    <t>34052030580EQMRCZZHO</t>
  </si>
  <si>
    <t>SM CFO: SRB - ACTING &amp; POST RELATE ALLOW</t>
  </si>
  <si>
    <t>34052050620EQMRCZZHO</t>
  </si>
  <si>
    <t>SM CFO: SOC CONTR: PENSION FUNDS</t>
  </si>
  <si>
    <t>34052050630EQMRCZZHO</t>
  </si>
  <si>
    <t>SM CFO: SOC CONTR: UIF</t>
  </si>
  <si>
    <t>34052050640EQMRCZZHO</t>
  </si>
  <si>
    <t>SM CFO: SOC CONTR: BARGAINING COUNCIL</t>
  </si>
  <si>
    <t>34052110010EQMRCZZHO</t>
  </si>
  <si>
    <t>34052110010FMMRCZZHO</t>
  </si>
  <si>
    <t>34052110010PRMRCZZHO</t>
  </si>
  <si>
    <t>34052110220EQMRCZZHO</t>
  </si>
  <si>
    <t>34052110260EQMRCZZHO</t>
  </si>
  <si>
    <t>34052110320EQMRCZZHO</t>
  </si>
  <si>
    <t>34052110340EQMRCZZHO</t>
  </si>
  <si>
    <t>34052110360EQMRCZZHO</t>
  </si>
  <si>
    <t>34052110380EQMRCZZHO</t>
  </si>
  <si>
    <t>34052110560EQMRCZZHO</t>
  </si>
  <si>
    <t>34052130010EQMRCZZHO</t>
  </si>
  <si>
    <t>34052130100EQMRCZZHO</t>
  </si>
  <si>
    <t>34052130200EQMRCZZHO</t>
  </si>
  <si>
    <t>34052130300EQMRCZZHO</t>
  </si>
  <si>
    <t>34052130400EQMRCZZHO</t>
  </si>
  <si>
    <t>34052130400EQMRCZZWD</t>
  </si>
  <si>
    <t>34052142200EQMRCZZHO</t>
  </si>
  <si>
    <t>34052260310EQP42ZZHO</t>
  </si>
  <si>
    <t>OS: B&amp;A ACCOUNTANTS &amp; AUDITORS</t>
  </si>
  <si>
    <t>34052260380EQP04ZZHO</t>
  </si>
  <si>
    <t>34052270340EQP57ZZHO</t>
  </si>
  <si>
    <t>C&amp;PS: B&amp;A BUSINESS &amp; FIN MANAGEMENT</t>
  </si>
  <si>
    <t>34052270400EQP15ZZHO</t>
  </si>
  <si>
    <t>C&amp;PS: B&amp;A ORGANISATIONAL</t>
  </si>
  <si>
    <t>34052270410EQP40ZZHO</t>
  </si>
  <si>
    <t>C&amp;PS: B&amp;A PROJECT MANAGEMENT</t>
  </si>
  <si>
    <t>34052270440EQMRCZZHO</t>
  </si>
  <si>
    <t>C&amp;PS: B&amp;A QUALITY CONTROL</t>
  </si>
  <si>
    <t>34052270480EQMRCZZHO</t>
  </si>
  <si>
    <t>C&amp;PS: B&amp;A ACTUARIES</t>
  </si>
  <si>
    <t>34052300150FMP23ZZHO</t>
  </si>
  <si>
    <t>34052300180EQMRCZZHO</t>
  </si>
  <si>
    <t>34052300400EQMRCZZHO</t>
  </si>
  <si>
    <t>34052305410EQMRCZZHO</t>
  </si>
  <si>
    <t>34052305760EQMRCZZHO</t>
  </si>
  <si>
    <t>34052320600EQMRCZZHO</t>
  </si>
  <si>
    <t>INV - CONSUMABLE STORES - STANDARD RATED</t>
  </si>
  <si>
    <t>34052362410EQMRCZZHO</t>
  </si>
  <si>
    <t>INT PAID:  BANK OVERDRAFT</t>
  </si>
  <si>
    <t>34052400010PRMRCZZWD</t>
  </si>
  <si>
    <t>BAD DEBTS WRITTEN OFF</t>
  </si>
  <si>
    <t>34052400010WTMRCZZHO</t>
  </si>
  <si>
    <t>34052721000EQMRCZZHO</t>
  </si>
  <si>
    <t>DEPRECIATION SOLID WASTE LANDFILL SITES</t>
  </si>
  <si>
    <t>34052721200EQMRCZZHO</t>
  </si>
  <si>
    <t>DEPRECIATION WATER SUPPLY DAMS &amp; WEIRS</t>
  </si>
  <si>
    <t>34052721260EQMRCZZHO</t>
  </si>
  <si>
    <t>DEPRECIATION WATER SUPPLY DISTRIBUTION</t>
  </si>
  <si>
    <t>34052722710EQMRCZZHO</t>
  </si>
  <si>
    <t>DEPRECIATION SANITATION RETICULATION</t>
  </si>
  <si>
    <t>34052728000EQMRCZZHO</t>
  </si>
  <si>
    <t>DEPRECIATION ROADS</t>
  </si>
  <si>
    <t>34053200550PPMRCZZWD</t>
  </si>
  <si>
    <t>PPE COMPUTER EQUIPMENT - GAINS</t>
  </si>
  <si>
    <t>34053200550PRMRCZZWD</t>
  </si>
  <si>
    <t>34053500050EQMRCZZHO</t>
  </si>
  <si>
    <t>IL: BIOLOGICAL/CULTIV ASSETS</t>
  </si>
  <si>
    <t>34053500050PRMRCZZHO</t>
  </si>
  <si>
    <t>35052032050EQMRCZZHO</t>
  </si>
  <si>
    <t>SM D04: SAL &amp; ALL -  BASIC SALARY</t>
  </si>
  <si>
    <t>35052032070EQMRCZZHO</t>
  </si>
  <si>
    <t>SM D04: ALLOW - CELLULAR &amp; TELEPHONE</t>
  </si>
  <si>
    <t>35052032090EQMRCZZHO</t>
  </si>
  <si>
    <t>SM D04: ALLOW - TRAVEL OR MOTOR VEHICLE</t>
  </si>
  <si>
    <t>35052052220EQMRCZZHO</t>
  </si>
  <si>
    <t>SM D04: SOC CONTR: PENSION FUNDS</t>
  </si>
  <si>
    <t>35052052230EQMRCZZHO</t>
  </si>
  <si>
    <t>SM D04: SOC CONTR: UIF</t>
  </si>
  <si>
    <t>35052052240EQMRCZZHO</t>
  </si>
  <si>
    <t>SM D04: SOC CONTR: BARGAINING COUNCIL</t>
  </si>
  <si>
    <t>35052110340EQMRCZZHO</t>
  </si>
  <si>
    <t>35052265410MIP37ZZHO</t>
  </si>
  <si>
    <t>OS: SEWERAGE SERVICES</t>
  </si>
  <si>
    <t>35052265410MIP77ZZHO</t>
  </si>
  <si>
    <t>35052265410MIP78ZZHO</t>
  </si>
  <si>
    <t>35052265410MIP79ZZHO</t>
  </si>
  <si>
    <t>35052265410MIP80ZZHO</t>
  </si>
  <si>
    <t>35052320600EQMRCZZHO</t>
  </si>
  <si>
    <t>35052381500EQMRCZZHO</t>
  </si>
  <si>
    <t>35102110010EPMRCZZWD</t>
  </si>
  <si>
    <t>35102110010EQMRCZZ02</t>
  </si>
  <si>
    <t>35102110010EQMRCZZ03</t>
  </si>
  <si>
    <t>35102110010EQMRCZZ05</t>
  </si>
  <si>
    <t>35102110010EQMRCZZHO</t>
  </si>
  <si>
    <t>35102110010EQMRCZZWD</t>
  </si>
  <si>
    <t>35102110220EQMRCZZHO</t>
  </si>
  <si>
    <t>35102110260EQMRCZZ02</t>
  </si>
  <si>
    <t>35102110260EQMRCZZ05</t>
  </si>
  <si>
    <t>35102110260EQMRCZZHO</t>
  </si>
  <si>
    <t>35102110260EQMRCZZWD</t>
  </si>
  <si>
    <t>35102110320EQMRCZZHO</t>
  </si>
  <si>
    <t>35102110340EQMRCZZHO</t>
  </si>
  <si>
    <t>35102110360EQMRCZZHO</t>
  </si>
  <si>
    <t>35102130010EQMRCZZHO</t>
  </si>
  <si>
    <t>35102130100EQMRCZZHO</t>
  </si>
  <si>
    <t>35102130200EQMRCZZHO</t>
  </si>
  <si>
    <t>35102130300EQMRCZZHO</t>
  </si>
  <si>
    <t>35102150010EQMRCZZHO</t>
  </si>
  <si>
    <t>MS: SAL &amp; WAGES COST CAP TO PPE</t>
  </si>
  <si>
    <t>35102260600MIMRCZZHO</t>
  </si>
  <si>
    <t>35102264520MIMRCZZHO</t>
  </si>
  <si>
    <t>OS: PROFESSIONAL STAFF</t>
  </si>
  <si>
    <t>35102266400EQMRCZZWD</t>
  </si>
  <si>
    <t>OS: WATER TANKERS</t>
  </si>
  <si>
    <t>35102270410ORQ05ZZWD</t>
  </si>
  <si>
    <t>35102270410ORQ06ZZWD</t>
  </si>
  <si>
    <t>35102272460EQMRCZZHO</t>
  </si>
  <si>
    <t>C&amp;PS: I&amp;P ENGINEERING CIVIL</t>
  </si>
  <si>
    <t>35102272460EQP49ZZWD</t>
  </si>
  <si>
    <t>35102280050WTP29ZZHO</t>
  </si>
  <si>
    <t>35102280300EQP53ZZWD</t>
  </si>
  <si>
    <t>CONTR: BORE WATERHOLE DRILLING</t>
  </si>
  <si>
    <t>35102284520WTP29ZZHO</t>
  </si>
  <si>
    <t>CONTR: PLANTS FLOWERS &amp; OTH DECORATIONS</t>
  </si>
  <si>
    <t>35102285410EQP35ZZWD</t>
  </si>
  <si>
    <t>CONTR: SEWERAGE SERVICES</t>
  </si>
  <si>
    <t>35102285410EQP68ZZWD</t>
  </si>
  <si>
    <t>35102303610EQMRCZZWD</t>
  </si>
  <si>
    <t>OC: MUNICIPAL SERVICES</t>
  </si>
  <si>
    <t>35102305410EQMRCZZHO</t>
  </si>
  <si>
    <t>35102305760EQMRCZZHO</t>
  </si>
  <si>
    <t>35102305760MIMRCZZHO</t>
  </si>
  <si>
    <t>35102305770EQMRCZZHO</t>
  </si>
  <si>
    <t>OC: T&amp;S DOM - DAILY ALLOWANCE</t>
  </si>
  <si>
    <t>35102306610WTMRCZZHO</t>
  </si>
  <si>
    <t>OC: WET FUEL</t>
  </si>
  <si>
    <t>35102320600EQP47ZZWD</t>
  </si>
  <si>
    <t>35102320600EQP49ZZWD</t>
  </si>
  <si>
    <t>35102323600EQP35ZZWD</t>
  </si>
  <si>
    <t>INVENTORY - MATERIALS &amp; SUPPLIES</t>
  </si>
  <si>
    <t>35102323600EQP47ZZWD</t>
  </si>
  <si>
    <t>35102323600EQP48ZZWD</t>
  </si>
  <si>
    <t>35102323600EQP49ZZWD</t>
  </si>
  <si>
    <t>35102323600EQP50ZZWD</t>
  </si>
  <si>
    <t>35102323600EQP51ZZWD</t>
  </si>
  <si>
    <t>35102340250EQMRCZZWD</t>
  </si>
  <si>
    <t>BULK WATER PURCHASES</t>
  </si>
  <si>
    <t>35106420420CFH25ZZ02</t>
  </si>
  <si>
    <t>WATER TANKERS</t>
  </si>
  <si>
    <t>35106444420CFH40ZZ05</t>
  </si>
  <si>
    <t>COVID-19 BOREHOLE GAMAMPURU</t>
  </si>
  <si>
    <t>35106444420CFH41ZZWD</t>
  </si>
  <si>
    <t>COVID-19 BOREHOLE JANE FURSE HOSPITAL</t>
  </si>
  <si>
    <t>35106444420CFH42ZZWD</t>
  </si>
  <si>
    <t>COVID-19 BOREHOLE MASHAMOTHANE</t>
  </si>
  <si>
    <t>35106444420CFH43ZZWD</t>
  </si>
  <si>
    <t>COVID-19 BOREHOLE LEEUFONTEIN</t>
  </si>
  <si>
    <t>35106444420CFH44ZZWD</t>
  </si>
  <si>
    <t>COVID-19 BOREHOLE LEGOLANEENG</t>
  </si>
  <si>
    <t>35106444420CFH55ZZWD</t>
  </si>
  <si>
    <t>COVID-19 BOREHOLE MOMANE</t>
  </si>
  <si>
    <t>35106444420CFH56ZZWD</t>
  </si>
  <si>
    <t>COVID-19 BOREHOLE STOFFBERG</t>
  </si>
  <si>
    <t>35106444420CFH57ZZWD</t>
  </si>
  <si>
    <t>COVID-19 BOREHOLE BUFFELSHOEK</t>
  </si>
  <si>
    <t>35106444420CFH59ZZWD</t>
  </si>
  <si>
    <t>COVID-19 BOREHOLE GLEN COWIE &amp; ST RITAS</t>
  </si>
  <si>
    <t>35106444420CFH60ZZWD</t>
  </si>
  <si>
    <t>COVID-19 BOREHOLE KGAPAMADI</t>
  </si>
  <si>
    <t>35106444420CFH61ZZWD</t>
  </si>
  <si>
    <t>COVID-19 BOREHOLE NGWARITSI</t>
  </si>
  <si>
    <t>35106444420CFH62ZZWD</t>
  </si>
  <si>
    <t>COVID-19 BOREHOLE PHAHLAMANOGE/MASEHLENG</t>
  </si>
  <si>
    <t>35106444420CFH63ZZWD</t>
  </si>
  <si>
    <t>COVID-19 BOREHOLE LEBALELO WATER ASSOC</t>
  </si>
  <si>
    <t>35106444420CFH64ZZWD</t>
  </si>
  <si>
    <t>COVID-19 BOREHOLE MPITA</t>
  </si>
  <si>
    <t>35106444420CFH65ZZWD</t>
  </si>
  <si>
    <t>COVID-19 BOREHOLE MOTETEMA BOOSTER PUMPS</t>
  </si>
  <si>
    <t>35106444420CFH68ZZWD</t>
  </si>
  <si>
    <t>COVID-19 BOREHOLE MOGODI</t>
  </si>
  <si>
    <t>35106444420WAG03ZZ05</t>
  </si>
  <si>
    <t>MAEBE DRILLING AND EQUIPPING OF BOREHOLE</t>
  </si>
  <si>
    <t>35106444420WAG05ZZ05</t>
  </si>
  <si>
    <t>MAPULANENG DRILLING AND EQP OF BOREHOLE</t>
  </si>
  <si>
    <t>35106444420WAH21ZZWD</t>
  </si>
  <si>
    <t>WSIG: JANEFURSE RDP PACKAGE PLANT</t>
  </si>
  <si>
    <t>35106445020CFH18ZZWD</t>
  </si>
  <si>
    <t>NKADIMENG PHASE 11A (SUB-CONTRACTORS)</t>
  </si>
  <si>
    <t>35106446020CFG86ZZWD</t>
  </si>
  <si>
    <t>SDM-EMS</t>
  </si>
  <si>
    <t>35106446020CFG88ZZWD</t>
  </si>
  <si>
    <t>OFFICE EQUIPMENT</t>
  </si>
  <si>
    <t>35106446020CFG94ZZWD</t>
  </si>
  <si>
    <t>SDM-CAPITAL REPLACEMENT RESERVE</t>
  </si>
  <si>
    <t>35106446020CFH28ZZWD</t>
  </si>
  <si>
    <t>COVID-19 EQUIPMENT</t>
  </si>
  <si>
    <t>35106446020CFH67ZZHO</t>
  </si>
  <si>
    <t>SETTLEMENT OF VEHICLES</t>
  </si>
  <si>
    <t>35106446020MGG34ZZ05</t>
  </si>
  <si>
    <t>35106446020MGG58ZZWD</t>
  </si>
  <si>
    <t>MIG ZAAIPLAAS VILLAGE RETICUL PHASE - CO</t>
  </si>
  <si>
    <t>35106446020MGG65ZZWD</t>
  </si>
  <si>
    <t>MIG MOTLAILANA; MAKGEMENG &amp; TAUNG WS</t>
  </si>
  <si>
    <t>35106446020MGH01ZZWD</t>
  </si>
  <si>
    <t>MIG-MKLM GA-MARISHANE WATER RETICULATION</t>
  </si>
  <si>
    <t>35106446020MGH03ZZWD</t>
  </si>
  <si>
    <t>MIG-GTLM LEBALELO SOUTH CONN PIPES&amp;RETIC</t>
  </si>
  <si>
    <t>35106446020MGH04ZZWD</t>
  </si>
  <si>
    <t>MIG-GAMOGASHWA(SENGAPUDI) &amp; (MANAMANE)</t>
  </si>
  <si>
    <t>35106446020MGH05ZZWD</t>
  </si>
  <si>
    <t>MIG-NSD07 REGION WATER SCHM RESERV</t>
  </si>
  <si>
    <t>35106446020MGH06ZZWD</t>
  </si>
  <si>
    <t>DEHOOP/NEBO PLA/SCHONORD SCH VILGS MKGER</t>
  </si>
  <si>
    <t>35106446020MGH07ZZWD</t>
  </si>
  <si>
    <t>MIG-MALEKANE REGIONAL WATER SCHEME</t>
  </si>
  <si>
    <t>35106446020MGH08ZZWD</t>
  </si>
  <si>
    <t>MIG-LEBALELO SOUTH PH3MAROGA &amp; MOTLOLO</t>
  </si>
  <si>
    <t>35106446020MGH39ZZWD</t>
  </si>
  <si>
    <t>COVID-19 MIG - COVID 19 PROJECTS</t>
  </si>
  <si>
    <t>35106446020RBG78ZZWD</t>
  </si>
  <si>
    <t>RBIG-MKLM NEBO BWS MAKGERU TO SCHOONOOR</t>
  </si>
  <si>
    <t>35106446020RBH29ZZWD</t>
  </si>
  <si>
    <t>COVID-19 NEBO GA MALEKANA TO JANE FURSE</t>
  </si>
  <si>
    <t>35106446020RBH30ZZWD</t>
  </si>
  <si>
    <t>COVID-19 MOUTSE EAST &amp; WEST PROJECT 2-4</t>
  </si>
  <si>
    <t>35106446020RBH31ZZWD</t>
  </si>
  <si>
    <t>COVID-19 NEBO BULK W JANE FURSE 24ML RES</t>
  </si>
  <si>
    <t>35106446020WAG40ZZWD</t>
  </si>
  <si>
    <t>WSIG MAKGANE WATER INTER</t>
  </si>
  <si>
    <t>35106446020WAG41ZZWD</t>
  </si>
  <si>
    <t>WSIG BOTHASHOEK WATER SUPPLY</t>
  </si>
  <si>
    <t>35106446020WAG42ZZWD</t>
  </si>
  <si>
    <t>WSIG MOKGAPANENG WATER INTERVENTIONS</t>
  </si>
  <si>
    <t>35106446020WAG45ZZWD</t>
  </si>
  <si>
    <t>WSIG UITSPANNING WATER SOURCE DEVELOPMEN</t>
  </si>
  <si>
    <t>35106446020WAG46ZZWD</t>
  </si>
  <si>
    <t>WSIG FLAG BOSHIELO WATER CONSEV &amp; WDM</t>
  </si>
  <si>
    <t>35106446020WAG96ZZWD</t>
  </si>
  <si>
    <t>WSIG TUKAKGOMO RDP SECTION BOREHOLE</t>
  </si>
  <si>
    <t>35106446020WAG97ZZWD</t>
  </si>
  <si>
    <t>WSIG:RUTSENG WATER INTERVENTION</t>
  </si>
  <si>
    <t>35106446020WAH16ZZWD</t>
  </si>
  <si>
    <t>WSIG:NKOSINI WATER SUPPLY &amp;PACKAGE PLANT</t>
  </si>
  <si>
    <t>35106446020WAH17ZZWD</t>
  </si>
  <si>
    <t>WSIG:MAGOROANE WATER SUPPLY</t>
  </si>
  <si>
    <t>35106446020WAH32ZZWD</t>
  </si>
  <si>
    <t>COVID-19 MAJADITSHUKUDU</t>
  </si>
  <si>
    <t>35106446020WAH33ZZWD</t>
  </si>
  <si>
    <t>COVID-19 DITHABANENG</t>
  </si>
  <si>
    <t>35106446020WAH34ZZWD</t>
  </si>
  <si>
    <t>COVID-19 DITWAING</t>
  </si>
  <si>
    <t>35106446020WAH35ZZWD</t>
  </si>
  <si>
    <t>COVID-19 SEELANE</t>
  </si>
  <si>
    <t>35106446020WAH36ZZWD</t>
  </si>
  <si>
    <t>COVID-19 MACHACHA</t>
  </si>
  <si>
    <t>35106446020WAH37ZZWD</t>
  </si>
  <si>
    <t>COVID-19 SWENYANENG</t>
  </si>
  <si>
    <t>35106446020WAH38ZZWD</t>
  </si>
  <si>
    <t>COVID-19 MARISHANE</t>
  </si>
  <si>
    <t>35106449420MGH02ZZWD</t>
  </si>
  <si>
    <t>MIG-EM ROSSENEKAL WWTW</t>
  </si>
  <si>
    <t>35106449420WAG95ZZWD</t>
  </si>
  <si>
    <t>WSIG-MORETSELE VIDP</t>
  </si>
  <si>
    <t>35106460020CFG72ZZWD</t>
  </si>
  <si>
    <t>35106460020CFH24ZZWD</t>
  </si>
  <si>
    <t>SCANNERS</t>
  </si>
  <si>
    <t>35106460020CFH66ZZWD</t>
  </si>
  <si>
    <t>TV;CHAIRS; HEADSETS; TABLETS AND ROUTER</t>
  </si>
  <si>
    <t>35106470020CFG84ZZWD</t>
  </si>
  <si>
    <t>COMPUTER</t>
  </si>
  <si>
    <t>35106472420RRH27ZZ02</t>
  </si>
  <si>
    <t>RRAMS CAPITAL ACQUISITION</t>
  </si>
  <si>
    <t>OC: ADV/PUB/MARK - CORP &amp; MUN ACTIVITIES</t>
  </si>
  <si>
    <t>37052031250EQMRCZZHO</t>
  </si>
  <si>
    <t>SM D02: SAL &amp; ALL -  BASIC SALARY</t>
  </si>
  <si>
    <t>37052031290EQMRCZZHO</t>
  </si>
  <si>
    <t>SM D02: ALLOW - TRAVEL OR MOTOR VEHICLE</t>
  </si>
  <si>
    <t>37052031300EQMRCZZHO</t>
  </si>
  <si>
    <t>SM D02: ALLOW - ACCOM TRAVEL &amp; INCIDENT.</t>
  </si>
  <si>
    <t>37052032850EQMRCZZHO</t>
  </si>
  <si>
    <t>SM D06: SAL &amp; ALL -  BASIC SALARY</t>
  </si>
  <si>
    <t>37052032870EQMRCZZHO</t>
  </si>
  <si>
    <t>SM D06: ALLOW - CELLULAR &amp; TELEPHONE</t>
  </si>
  <si>
    <t>37052032890EQMRCZZHO</t>
  </si>
  <si>
    <t>SM D06: ALLOW - TRAVEL OR MOTOR VEHICLE</t>
  </si>
  <si>
    <t>37052032910EQMRCZZHO</t>
  </si>
  <si>
    <t>SM D06: ALLOW - NON PENSIONABLE</t>
  </si>
  <si>
    <t>37052110010EQMRCZZHO</t>
  </si>
  <si>
    <t>37052110220EQMRCZZHO</t>
  </si>
  <si>
    <t>37052110260EQMRCZZHO</t>
  </si>
  <si>
    <t>37052110320EQMRCZZHO</t>
  </si>
  <si>
    <t>37052110340EQMRCZZHO</t>
  </si>
  <si>
    <t>37052110360EQMRCZZHO</t>
  </si>
  <si>
    <t>37052110380EQMRCZZ01</t>
  </si>
  <si>
    <t>37052130010EQMRCZZHO</t>
  </si>
  <si>
    <t>37052130100EQMRCZZHO</t>
  </si>
  <si>
    <t>37052130200EQMRCZZHO</t>
  </si>
  <si>
    <t>37052130300EQMRCZZHO</t>
  </si>
  <si>
    <t>37052130400EQMRCZZHO</t>
  </si>
  <si>
    <t>37052142180EQMRCZZHO</t>
  </si>
  <si>
    <t>37052142200EQMRCZZHO</t>
  </si>
  <si>
    <t>37052260600EQMRCZZHO</t>
  </si>
  <si>
    <t>37052260600EQP29ZZHO</t>
  </si>
  <si>
    <t>37052260600EQP36ZZWD</t>
  </si>
  <si>
    <t>37052260600EQP60ZZHO</t>
  </si>
  <si>
    <t>37052264500EQP67ZZWD</t>
  </si>
  <si>
    <t>OS: PERSONNEL &amp; LABOUR</t>
  </si>
  <si>
    <t>37052270310EQMRCZZWD</t>
  </si>
  <si>
    <t>C&amp;PS: B&amp;A AIR POLLUTION</t>
  </si>
  <si>
    <t>37052270400EQP17ZZHO</t>
  </si>
  <si>
    <t>37052273330EQMRCZZHO</t>
  </si>
  <si>
    <t>C&amp;PS: LAB SERV WATER</t>
  </si>
  <si>
    <t>37052283610EQP20ZZHO</t>
  </si>
  <si>
    <t>CONTR: MAINTENANCE OF EQUIPMENT</t>
  </si>
  <si>
    <t>37052301870EQP36ZZWD</t>
  </si>
  <si>
    <t>37052305410EQMRCZZHO</t>
  </si>
  <si>
    <t>37052305760EQMRCZZHO</t>
  </si>
  <si>
    <t>37052320600EQMRCZZWD</t>
  </si>
  <si>
    <t>37052320600EQQ11ZZHO</t>
  </si>
  <si>
    <t>37052320600EQQ12ZZHO</t>
  </si>
  <si>
    <t>38052549400EQP59ZZHO</t>
  </si>
  <si>
    <t>PRV DPT AGEN - LIM ECON DEV AGENCY</t>
  </si>
  <si>
    <t>39052030080EQMRCZZHO</t>
  </si>
  <si>
    <t>SM MM: ALLOW - HOUSING BENEFITS</t>
  </si>
  <si>
    <t>39052030850EQMRCZZHO</t>
  </si>
  <si>
    <t>SM D01: SAL &amp; ALL -  BASIC SALARY</t>
  </si>
  <si>
    <t>39052030870EQMRCZZHO</t>
  </si>
  <si>
    <t>SM D01: ALLOW - CELLULAR &amp; TELEPHONE</t>
  </si>
  <si>
    <t>39052030890EQMRCZZHO</t>
  </si>
  <si>
    <t>SM D01: ALLOW - TRAVEL OR MOTOR VEHICLE</t>
  </si>
  <si>
    <t>39052051020EQMRCZZHO</t>
  </si>
  <si>
    <t>SM D01: SOC CONTR: PENSION FUNDS</t>
  </si>
  <si>
    <t>39052110010EQMRCZZHO</t>
  </si>
  <si>
    <t>39052110010TRMRCZZHO</t>
  </si>
  <si>
    <t>39052110220EQMRCZZHO</t>
  </si>
  <si>
    <t>39052110260EQMRCZZHO</t>
  </si>
  <si>
    <t>39052110320EQMRCZZHO</t>
  </si>
  <si>
    <t>39052110340EQMRCZZHO</t>
  </si>
  <si>
    <t>39052110360EQMRCZZHO</t>
  </si>
  <si>
    <t>39052110380EQMRCZZHO</t>
  </si>
  <si>
    <t>39052130010EQMRCZZHO</t>
  </si>
  <si>
    <t>39052130100EQMRCZZHO</t>
  </si>
  <si>
    <t>39052130200EQMRCZZHO</t>
  </si>
  <si>
    <t>39052130300EQMRCZZHO</t>
  </si>
  <si>
    <t>39052130400EQMRCZZHO</t>
  </si>
  <si>
    <t>39052142180EQMRCZZHO</t>
  </si>
  <si>
    <t>39052142200EQMRCZZHO</t>
  </si>
  <si>
    <t>39052260600EQP75ZZHO</t>
  </si>
  <si>
    <t>39052270340EQMRCZZHO</t>
  </si>
  <si>
    <t>39052270390EQP73ZZHO</t>
  </si>
  <si>
    <t>C&amp;PS: B&amp;A OCCUPATIONAL HEALTH &amp; SAFE</t>
  </si>
  <si>
    <t>39052270400EQMRCZZHO</t>
  </si>
  <si>
    <t>39052281210EQMRCZZHO</t>
  </si>
  <si>
    <t>CONTR: EMPLOYEE WELLNESS</t>
  </si>
  <si>
    <t>39052283600EQP72ZZHO</t>
  </si>
  <si>
    <t>CONTR:  MAINT OF BUILDINGS &amp; FACILITIES</t>
  </si>
  <si>
    <t>39052283610EQP74ZZHO</t>
  </si>
  <si>
    <t>39052300110EQMRCZZHO</t>
  </si>
  <si>
    <t>OC: ADV/PUB/MARK -BURSARIES (NON-EMPLOY)</t>
  </si>
  <si>
    <t>39052300120EQMRCZZHO</t>
  </si>
  <si>
    <t>39052300170EQMRCZZHO</t>
  </si>
  <si>
    <t>OC: ADV/PUB/MARK - STAFF RECRUITMENT</t>
  </si>
  <si>
    <t>39052300490EQMRCZZHO</t>
  </si>
  <si>
    <t>OC: BURSARIES (EMPLOYEES)</t>
  </si>
  <si>
    <t>39052301170EQMRCZZHO</t>
  </si>
  <si>
    <t>OC: COMM - PHONE FAX TELEGRAPH &amp; TELEX</t>
  </si>
  <si>
    <t>39052301790EQMRCZZHO</t>
  </si>
  <si>
    <t>OC: EXT COM SERV PROV - SPEC COMPUT SERV</t>
  </si>
  <si>
    <t>39052303330EQMRCZZHO</t>
  </si>
  <si>
    <t>OC: LIC - VEHICLE LIC &amp; REGISTRATIONS</t>
  </si>
  <si>
    <t>39052305410EQMRCZZHO</t>
  </si>
  <si>
    <t>39052305450EQMRCZZHO</t>
  </si>
  <si>
    <t>OC: STORAGE OF FILES (ARCHIVING)</t>
  </si>
  <si>
    <t>39052305760EQMRCZZHO</t>
  </si>
  <si>
    <t>39052305970WTMRCZZWD</t>
  </si>
  <si>
    <t>OC: T&amp;S - NON-EMPLOYEES</t>
  </si>
  <si>
    <t>39052306300EQP76ZZHO</t>
  </si>
  <si>
    <t>OC: VEHICLE TRACKING</t>
  </si>
  <si>
    <t>39052306610EQMRCZZHO</t>
  </si>
  <si>
    <t>39052320600EQMRCZZHO</t>
  </si>
  <si>
    <t>39052320600EQQ11ZZHO</t>
  </si>
  <si>
    <t>39052323600EQMRCZZWD</t>
  </si>
  <si>
    <t>39052381500EQMRCZZHO</t>
  </si>
  <si>
    <t>39052383650EQMRCZZHO</t>
  </si>
  <si>
    <t>OPR LEASES: OTHER ASSETS</t>
  </si>
  <si>
    <t xml:space="preserve">SDM OWN FUNDING </t>
  </si>
  <si>
    <t xml:space="preserve">MIG GRANT </t>
  </si>
  <si>
    <t xml:space="preserve">WSIG GRANT </t>
  </si>
  <si>
    <t xml:space="preserve">RBIG GRANT </t>
  </si>
  <si>
    <t xml:space="preserve">RRAMS GRANT </t>
  </si>
  <si>
    <t>SPEAKERS OFFICE</t>
  </si>
  <si>
    <t xml:space="preserve">EXECUTIVE MAYORS OFFICE </t>
  </si>
  <si>
    <t xml:space="preserve">MUNICIPAL MANAGERS OFFICE </t>
  </si>
  <si>
    <t xml:space="preserve">BUDGET ANS TREASURY </t>
  </si>
  <si>
    <t>INFRASTRUCTURE AND WATER SERVICES</t>
  </si>
  <si>
    <t>COMMUNITY SERVICES</t>
  </si>
  <si>
    <t>SDA</t>
  </si>
  <si>
    <t xml:space="preserve">CORPORATE SERIVCES </t>
  </si>
  <si>
    <t>CAPEX</t>
  </si>
  <si>
    <t>OPEX</t>
  </si>
  <si>
    <t>INTEREST</t>
  </si>
  <si>
    <t>OTHER REVENUE</t>
  </si>
  <si>
    <t>SERVICE CHARGERS</t>
  </si>
  <si>
    <t>Draft budget 2021/22</t>
  </si>
  <si>
    <t>2022/23</t>
  </si>
  <si>
    <t>2023/24</t>
  </si>
  <si>
    <t>New</t>
  </si>
  <si>
    <t xml:space="preserve">Section 79 strategic planning </t>
  </si>
  <si>
    <t>(Accommodation, catering, conference logistics)</t>
  </si>
  <si>
    <t xml:space="preserve"> PUBLICATION OF COUNCIL RULES OF ORDER</t>
  </si>
  <si>
    <t>(Printing/publication of Council Rules)</t>
  </si>
  <si>
    <t>MPAC votes to be increased</t>
  </si>
  <si>
    <t>(Accommodation, catering, working sessions and logistics)</t>
  </si>
  <si>
    <t>Additional water tankers and emergency vehicles</t>
  </si>
  <si>
    <t>Additional shelves for HR files in a separate office within registry</t>
  </si>
  <si>
    <t xml:space="preserve">To accommodate the new contract  and postage payment </t>
  </si>
  <si>
    <t xml:space="preserve">To accommodate new SLA with locals for rentals </t>
  </si>
  <si>
    <t>NEW</t>
  </si>
  <si>
    <t>SCM OFFICIALS/BID COMMITTEES</t>
  </si>
  <si>
    <t>DUE DELIGENCE</t>
  </si>
  <si>
    <t>External Quality Review</t>
  </si>
  <si>
    <t xml:space="preserve">PURCHASE OF OFFICE FUNITURE </t>
  </si>
  <si>
    <t xml:space="preserve">FINES: ILLEGAL CONNECTIONS - water </t>
  </si>
  <si>
    <t xml:space="preserve">C&amp;PS: B&amp;A BUSINESS &amp; FIN MANAGEMENT - cost recovey </t>
  </si>
  <si>
    <t xml:space="preserve">OS: B&amp;A PROJECT MANAGEMENT- revenue enhancement </t>
  </si>
  <si>
    <t>Additional R500 for upgrading of 19 Remote sites</t>
  </si>
  <si>
    <t>Need to replace aging servers/Computers/Printers, buy working tools for MPAC.</t>
  </si>
  <si>
    <t>OS: CATERING SERVICES - SODA</t>
  </si>
  <si>
    <t>OS: CATERING SERVICES - Mayoral Outreaches and Sectoral Engagement</t>
  </si>
  <si>
    <t>OS: CATERING SERVICES - Strategic Events</t>
  </si>
  <si>
    <t>OS: CATERING SERVICES -Batho Pele</t>
  </si>
  <si>
    <t>OS: CATERING SERVICES - Elderly Development</t>
  </si>
  <si>
    <t xml:space="preserve">                      100 000, 00</t>
  </si>
  <si>
    <t>OS: CATERING SERVICES - Women Development</t>
  </si>
  <si>
    <t>OS: CATERING SERVICES - Children</t>
  </si>
  <si>
    <t>OS: CATERING SERVICES - Disability</t>
  </si>
  <si>
    <t>OS: CATERING SERVICES - Health &amp;District AIDS Council</t>
  </si>
  <si>
    <t>OS: CATERING SERVICES - Youth Development</t>
  </si>
  <si>
    <t>OS: CATERING SERVICES - Mayoral Sports</t>
  </si>
  <si>
    <t>OS: CATERING SERVICES - Cultural Heritage</t>
  </si>
  <si>
    <t>OS: CALL CENTRE REVAMP</t>
  </si>
  <si>
    <t>OC: HIRE CHARGES - SODA</t>
  </si>
  <si>
    <t>OC : HIRE CHARGES - Elderly Development</t>
  </si>
  <si>
    <t>OC: HIRE CHARGES - Women Development</t>
  </si>
  <si>
    <t>OC: HIRE CHARGES - Cultural Heritage</t>
  </si>
  <si>
    <t>OC: HIRE CHARGES - Youth Development</t>
  </si>
  <si>
    <t>OC: HIRE CHARGES - Mayoral Sports</t>
  </si>
  <si>
    <t>OC: T&amp;S DOM - Executive Mayor -ACCOMMODATION</t>
  </si>
  <si>
    <t xml:space="preserve">new </t>
  </si>
  <si>
    <t>MIG FUNDING</t>
  </si>
  <si>
    <t>Consider Projects Priority</t>
  </si>
  <si>
    <t>Chemicals for water treatment works</t>
  </si>
  <si>
    <t>Eskom energising of boreholes &amp; new commisioned projects</t>
  </si>
  <si>
    <t>Purchase of bulk material</t>
  </si>
  <si>
    <t>Deliverable /Description</t>
  </si>
  <si>
    <t>Strategic Action</t>
  </si>
  <si>
    <t>Groundwater or surface water resource development as the highest priority</t>
  </si>
  <si>
    <t>No new water infrastructure shall be developed by SDM without a developed, tested, quantified, and reliable ground or surface water source</t>
  </si>
  <si>
    <t>Updated WSDP for 2021 /22</t>
  </si>
  <si>
    <t>Update the WSDP for SDM which was last updated in 2014</t>
  </si>
  <si>
    <t>Updated 2021 Water and Sanitation Masterplan</t>
  </si>
  <si>
    <t>Update of the SDM Water and Sanitation Masterplan</t>
  </si>
  <si>
    <t xml:space="preserve">Comprehensive WC/WDM strategy for SDM, incorporating all the four pillars </t>
  </si>
  <si>
    <t>Development of the comprehensive water conservation and water demand management strategy for SDM (i.e. institutional, legislative, financial and technical. The technical pillar must include infrastructure refurbishment / rehabilitation and replacement sub-strategies)</t>
  </si>
  <si>
    <t>O &amp; M Strategy for SDM infrastructure and O &amp; M policy</t>
  </si>
  <si>
    <t>Development of operations and maintenance strategy for SDM (Included in the assignment shall be O &amp; M policy)</t>
  </si>
  <si>
    <t xml:space="preserve">SDM Infrastructure Asset Management Strategy and Policy </t>
  </si>
  <si>
    <t>Development of SDM water and sanitation infrastructure asset management strategy (included in the assignment shall be the Infrastructure Asset Management Policy)</t>
  </si>
  <si>
    <t>Growth in the number and improved CIDB grading of emerging contractors in the Sekhukhune District Municipality</t>
  </si>
  <si>
    <t>Contractor development strategy and programme within SDM (Grade 1 to 5)</t>
  </si>
  <si>
    <t>Number of short term jobs created through project implementation, number of local contractors employed in projects and number of local community members who received accredited training through projects</t>
  </si>
  <si>
    <t xml:space="preserve">Strategy for utilising water and sanitation infrastructure projects to drive local economies in the project areas </t>
  </si>
  <si>
    <r>
      <t>•</t>
    </r>
    <r>
      <rPr>
        <sz val="11"/>
        <color rgb="FF000000"/>
        <rFont val="Calibri"/>
        <family val="2"/>
        <scheme val="minor"/>
      </rPr>
      <t>Early warning depletion of water resource.</t>
    </r>
    <r>
      <rPr>
        <sz val="11"/>
        <color theme="1"/>
        <rFont val="Arial"/>
        <family val="2"/>
      </rPr>
      <t xml:space="preserve"> Improved manage of the limited resource. Preparedness for drought</t>
    </r>
  </si>
  <si>
    <t>Monitoring of both groundwater (ie boreholes) and surface water resource (dams) availability</t>
  </si>
  <si>
    <t>Provision of good quality water as required by the Water Services Act and the Constitution</t>
  </si>
  <si>
    <t xml:space="preserve">Monitoring of water quality </t>
  </si>
  <si>
    <r>
      <t>•</t>
    </r>
    <r>
      <rPr>
        <sz val="11"/>
        <color rgb="FF000000"/>
        <rFont val="Calibri"/>
        <family val="2"/>
        <scheme val="minor"/>
      </rPr>
      <t>Qualified staff to ensure successful forward planning and implementation.</t>
    </r>
  </si>
  <si>
    <t>Human capital development to ensure forward planning and project implementation oversight</t>
  </si>
  <si>
    <r>
      <t>•</t>
    </r>
    <r>
      <rPr>
        <sz val="11"/>
        <color rgb="FF000000"/>
        <rFont val="Calibri"/>
        <family val="2"/>
        <scheme val="minor"/>
      </rPr>
      <t>3 x  registered engineers (Planning &amp; design, system modelling, hydraulic modelling and network analysis).</t>
    </r>
  </si>
  <si>
    <r>
      <t>•</t>
    </r>
    <r>
      <rPr>
        <sz val="11"/>
        <color rgb="FF000000"/>
        <rFont val="Calibri"/>
        <family val="2"/>
        <scheme val="minor"/>
      </rPr>
      <t>3 x additional project managers</t>
    </r>
  </si>
  <si>
    <t xml:space="preserve">Functional GIS for IWS (As-built drawings of the existing infrastructure must be on GIS system) </t>
  </si>
  <si>
    <t>Secure and Implement Geographical Information Management System (‘’GIS’’) for Infrastructure and Water Services Department</t>
  </si>
  <si>
    <t xml:space="preserve">Functional IDMS with all current and completed projects in the system </t>
  </si>
  <si>
    <t>Infrastructure Delivery Management System (This enable capturing of the infrastructure value chain – from construction to asset to maintenance)</t>
  </si>
  <si>
    <t xml:space="preserve">Functional Telemetry System for bulk infrastructure assets such as reservoirs, pump stations, treatment plants, bulk water meters </t>
  </si>
  <si>
    <t>Procurement and installation of Telemetry System for bulk strategic water and sanitation infrastructure assets (e.g. start with Marble Hall, Groblersdal, Burgersfort, Steelpoort, etc)</t>
  </si>
  <si>
    <t>Functional IWS related query / fault reporting system</t>
  </si>
  <si>
    <t>Customer care, fault reporting and query management system</t>
  </si>
  <si>
    <r>
      <t>•</t>
    </r>
    <r>
      <rPr>
        <sz val="11"/>
        <color rgb="FF000000"/>
        <rFont val="Calibri"/>
        <family val="2"/>
        <scheme val="minor"/>
      </rPr>
      <t>Reliable digital and physical records management (i.e. all records on laptop and desktop computers must be stored on the SDM network (e.g. Shared folders)</t>
    </r>
  </si>
  <si>
    <t>Ensure proper records management and filing system</t>
  </si>
  <si>
    <r>
      <t>•</t>
    </r>
    <r>
      <rPr>
        <sz val="11"/>
        <color rgb="FF000000"/>
        <rFont val="Calibri"/>
        <family val="2"/>
        <scheme val="minor"/>
      </rPr>
      <t>Physical storage room of all completed projects and A-Built Drawings must be identified and utilised</t>
    </r>
  </si>
  <si>
    <r>
      <t>•</t>
    </r>
    <r>
      <rPr>
        <sz val="11"/>
        <color rgb="FF000000"/>
        <rFont val="Calibri"/>
        <family val="2"/>
        <scheme val="minor"/>
      </rPr>
      <t>Reliable and updated GIS system.</t>
    </r>
  </si>
  <si>
    <r>
      <t>•</t>
    </r>
    <r>
      <rPr>
        <sz val="11"/>
        <color rgb="FF000000"/>
        <rFont val="Calibri"/>
        <family val="2"/>
        <scheme val="minor"/>
      </rPr>
      <t xml:space="preserve">1 X dedicated GIS Official </t>
    </r>
  </si>
  <si>
    <t>Reduce the number of breakdowns or system failures to zero per month</t>
  </si>
  <si>
    <t>Planned, routine and preventative maintenance to be implemented once a quarter in all raw and wastewater treatment plants including groundwater sources, and storage reservoirs</t>
  </si>
  <si>
    <t xml:space="preserve">Knowledge of the existing infrastructure components and enhanced maintenance </t>
  </si>
  <si>
    <t>As-Built Drawings of completed schemes to be captured in both the IDMS and GIS systems to ensure improved operations and maintenance of the infrastructure</t>
  </si>
  <si>
    <t>Updated As-Built Drawings as a true reflection of the infrastructure asset</t>
  </si>
  <si>
    <t>Ensure that any replacement of the components (e.g. pumps, valves, etc) of the existing infrastructure are captured in the As-Built Drawings.</t>
  </si>
  <si>
    <t>Procurement of the borehole drilling rig and appropriate components.</t>
  </si>
  <si>
    <t>Appropriate tools of trade</t>
  </si>
  <si>
    <t xml:space="preserve">Effective and structured water quality management </t>
  </si>
  <si>
    <t>Development of the overall water quality monitoring and management strategy for SDM</t>
  </si>
  <si>
    <t>Structured and focused water quality management</t>
  </si>
  <si>
    <t>Cost of the water quality staff</t>
  </si>
  <si>
    <t xml:space="preserve">Development and implementation of water quality management protocols and guidelines </t>
  </si>
  <si>
    <t xml:space="preserve">Billboards on Dam Levels supplying the main towns </t>
  </si>
  <si>
    <t>Implement proactive strategy for community unrests and project stoppages: Conduct education and awareness on matters related to water use, taking care of infrastructure and socio-economic issues attributed to projects. (i.e. Groblersdal, Marble Hall, Burgersfort, Jane Furse, etc).</t>
  </si>
  <si>
    <t>Joint effort between Communications Department; IWS; and BTO</t>
  </si>
  <si>
    <t>I&amp;WS  Projected Budget</t>
  </si>
  <si>
    <t>SOURCE DEVELOPMENT AND WATER SERVICES PLANNING</t>
  </si>
  <si>
    <t>MIG-GTLM GA-MALEKANE(GaMaphopha)</t>
  </si>
  <si>
    <t>MIG-MALEKANA WTW</t>
  </si>
  <si>
    <t>MIG-MAMPURU</t>
  </si>
  <si>
    <t>MIG-LEBALELO CENTRAL</t>
  </si>
  <si>
    <t>MIG-UPGRADING OF MOOIHOEK WTW</t>
  </si>
  <si>
    <t>WSIG LAERSDRIFT WATER SUPPLY INTERVENTION</t>
  </si>
  <si>
    <t>WSIG PHOKWANE/BROOKLYN WATER SUPPLY</t>
  </si>
  <si>
    <t>WSIG LEGOLANENG VDIP</t>
  </si>
  <si>
    <t>WSIG RATHOKE WATER RETICULATION NETWORK</t>
  </si>
  <si>
    <t>WSIG MASHIKWE WATER SUPPLY INTERVENTION</t>
  </si>
  <si>
    <t>WSIG LERAJANE DRILLING &amp; EQUIPPING OF BOREHOLES</t>
  </si>
  <si>
    <t>WSIG MORABA WATER RETICULATION</t>
  </si>
  <si>
    <t>WSIG MASHAMOTHANE WATER INTERVENTION</t>
  </si>
  <si>
    <t>WSIG MANOGE DRILLING &amp; EQUIPPING OF BOREHOLES</t>
  </si>
  <si>
    <t>WSIG DIPHAGANENG WATER RETICULATION NETWORK</t>
  </si>
  <si>
    <t>WSIG TJIBENG EXTENSION</t>
  </si>
  <si>
    <t>WSIG MERAKANG WATER RETICULATION</t>
  </si>
  <si>
    <t xml:space="preserve">WSIG MAMATJEKELE ABSTRACTION POINT </t>
  </si>
  <si>
    <t>WSIG PHIRING WATER INTERVENTION</t>
  </si>
  <si>
    <t>Acquisition of 2 water tankers (Lebalelo hired tankers are to expire April 2021)</t>
  </si>
  <si>
    <t>COVID RELATED WATER PROJECTS</t>
  </si>
  <si>
    <t>Awaiting additional funding from DWS</t>
  </si>
  <si>
    <t xml:space="preserve">New </t>
  </si>
  <si>
    <t xml:space="preserve">MS: Overtime / Standby - Disaster Management </t>
  </si>
  <si>
    <t>OS: CATERING SERVICES - Moral Regeneration Movement</t>
  </si>
  <si>
    <t>OC: WEBSITE - SYS Development</t>
  </si>
  <si>
    <t>OC: HIRE CHARGES - Strategic Events</t>
  </si>
  <si>
    <t>OC: TRANSPORT - Events</t>
  </si>
  <si>
    <t>OC: HIRE CHARGES - Mayoral Outreach programme</t>
  </si>
  <si>
    <t xml:space="preserve">Performance management system </t>
  </si>
  <si>
    <t>36052032450EQMRCZZHO</t>
  </si>
  <si>
    <t>SM D05: SAL &amp; ALL -  BASIC SALARY</t>
  </si>
  <si>
    <t>36052032470EQMRCZZHO</t>
  </si>
  <si>
    <t>SM D05: ALLOW - CELLULAR &amp; TELEPHONE</t>
  </si>
  <si>
    <t>36052032490EQMRCZZHO</t>
  </si>
  <si>
    <t>SM D05: ALLOW - TRAVEL OR MOTOR VEHICLE</t>
  </si>
  <si>
    <t>36052032510EQMRCZZHO</t>
  </si>
  <si>
    <t>SM D05: ALLOW - NON PENSIONABLE</t>
  </si>
  <si>
    <t>36052110010EQMRCZZHO</t>
  </si>
  <si>
    <t>36052110220EQMRCZZHO</t>
  </si>
  <si>
    <t>36052110260EQMRCZZHO</t>
  </si>
  <si>
    <t>36052110320EQMRCZZHO</t>
  </si>
  <si>
    <t>36052110340EQMRCZZHO</t>
  </si>
  <si>
    <t>36052130010EQMRCZZHO</t>
  </si>
  <si>
    <t>36052130100EQMRCZZHO</t>
  </si>
  <si>
    <t>36052130200EQMRCZZHO</t>
  </si>
  <si>
    <t>36052130300EQMRCZZHO</t>
  </si>
  <si>
    <t>36052130400EQMRCZZHO</t>
  </si>
  <si>
    <t>36052142200EQMRCZZHO</t>
  </si>
  <si>
    <t xml:space="preserve">PLANNING AND ECONMIC DEVELOPMENT </t>
  </si>
  <si>
    <t xml:space="preserve">Facilitate development of Industrial Development Master Plan for the Special Economic Zone (SEZ) </t>
  </si>
  <si>
    <t xml:space="preserve">Facilitate land acquisition for District Municipal Office </t>
  </si>
  <si>
    <t xml:space="preserve">Support to SMMEs and Co-operatives </t>
  </si>
  <si>
    <t>Review of Integrated Development  (IDP)</t>
  </si>
  <si>
    <t xml:space="preserve">Review of 2022/2023 District Developemt Plan (DDP) </t>
  </si>
  <si>
    <t xml:space="preserve">Facilitate Joint District Municipal Planning Tribunal </t>
  </si>
  <si>
    <t xml:space="preserve">Integrate Municipal GIS with Finance and Assets Management </t>
  </si>
  <si>
    <t xml:space="preserve">Facilitate Enterprise and Supplier Development Programme </t>
  </si>
  <si>
    <t xml:space="preserve">Facilitate Small Scale Mining Seminars and Workshops </t>
  </si>
  <si>
    <t xml:space="preserve">Facilitate Economic Development Forums (Mining, Tourism, LED &amp; Agric.) </t>
  </si>
  <si>
    <t xml:space="preserve">Develop Precinct plans in the Nodal Growth points </t>
  </si>
  <si>
    <t xml:space="preserve">Facilitate feasibility study for Poultry Abattoir </t>
  </si>
  <si>
    <t xml:space="preserve">Facilitate review of SDM Tourism Strategy </t>
  </si>
  <si>
    <t xml:space="preserve">Installation of District Tourism Signage for Tourism Establishments and Products (Manche Masemola, King Nyabela and Tjate) </t>
  </si>
  <si>
    <t xml:space="preserve">Facilitate development of SMMEs and Cooperatives development strategy </t>
  </si>
  <si>
    <t xml:space="preserve">Spatial referencing of District Development Plan (DDP) Capital projects </t>
  </si>
  <si>
    <t xml:space="preserve">Facilitate Entrepreneurship promotion workshops to aspiring Entrepreneurs </t>
  </si>
  <si>
    <t xml:space="preserve">Facilitate formalisation of Informal settlement (Jane Furse and Phokwane) </t>
  </si>
  <si>
    <t xml:space="preserve">Facilitate workshops to traditional leaders on land use and land allocation </t>
  </si>
  <si>
    <t xml:space="preserve">Facilitate workshop to local Municipal officials on application processing in terms of SPLUMA </t>
  </si>
  <si>
    <t>Facilitate the IDP Rep Forums</t>
  </si>
  <si>
    <t>new</t>
  </si>
  <si>
    <t>Sekhukhune District Municipality</t>
  </si>
  <si>
    <t>Code</t>
  </si>
  <si>
    <t xml:space="preserve">Total Adjustment budget (Feb) </t>
  </si>
  <si>
    <t>Collection/ Cashflow Feb Adjustment budget 2020/21  @ 55% collection  rate</t>
  </si>
  <si>
    <t>Service charges</t>
  </si>
  <si>
    <t>Interest income</t>
  </si>
  <si>
    <t>Other revenue</t>
  </si>
  <si>
    <t>Operating grants</t>
  </si>
  <si>
    <t>Total operating revenue</t>
  </si>
  <si>
    <t>Operating expenditure</t>
  </si>
  <si>
    <t>Collection/ Cashflow Feb Adjustment budget 2020/21  @ 55%</t>
  </si>
  <si>
    <t>Executive Council - Speaker's office</t>
  </si>
  <si>
    <t>Executive Mayor's office</t>
  </si>
  <si>
    <t>Municipal Manager's office</t>
  </si>
  <si>
    <t>Budget and Treasury</t>
  </si>
  <si>
    <t>Infrastructure and Water Services</t>
  </si>
  <si>
    <t>Planning and Econ Development</t>
  </si>
  <si>
    <t>Community services</t>
  </si>
  <si>
    <t>Sekhukhune Development Agency</t>
  </si>
  <si>
    <t>Corporate Services</t>
  </si>
  <si>
    <t>Total operating expenditure</t>
  </si>
  <si>
    <t>SDM Funded projects</t>
  </si>
  <si>
    <t>Surplus/Deficit</t>
  </si>
  <si>
    <t>Total Conditional Grants</t>
  </si>
  <si>
    <t>MIG</t>
  </si>
  <si>
    <t>RRAMS</t>
  </si>
  <si>
    <t>WSIG</t>
  </si>
  <si>
    <t>RBIG</t>
  </si>
  <si>
    <t>SDM</t>
  </si>
  <si>
    <t>Total Capital Grants</t>
  </si>
  <si>
    <t>MIG Split</t>
  </si>
  <si>
    <t xml:space="preserve">Total Adjustment budget </t>
  </si>
  <si>
    <t>Opex (VIP)</t>
  </si>
  <si>
    <t>Overheads</t>
  </si>
  <si>
    <t>Capex</t>
  </si>
  <si>
    <t>Total MIG Split</t>
  </si>
  <si>
    <t>Draft Budget working sheet summary</t>
  </si>
  <si>
    <t>2021/2022</t>
  </si>
  <si>
    <t>Draft budget 2021/2022</t>
  </si>
  <si>
    <t>2022/2023</t>
  </si>
  <si>
    <t>2023/2024</t>
  </si>
  <si>
    <t>VIP</t>
  </si>
  <si>
    <t>OPEX EXCL</t>
  </si>
  <si>
    <t>opex INCLI</t>
  </si>
  <si>
    <t>NEW Human Capital Development</t>
  </si>
  <si>
    <t>I&amp;WS Priotised Projected Budget</t>
  </si>
  <si>
    <t xml:space="preserve">REFER to Projects Priority </t>
  </si>
  <si>
    <t>Additional R250 000 for provisioning of COVID-19 PPE and devices at Satellite  offices and Fire stations</t>
  </si>
  <si>
    <t>purchase of offices</t>
  </si>
  <si>
    <t>SDM COUNCIL CHAMBER</t>
  </si>
  <si>
    <t>asset management support</t>
  </si>
  <si>
    <t xml:space="preserve">Facilitate the Feasibility study of a District Flea Market </t>
  </si>
  <si>
    <t xml:space="preserve">              500 000, 00</t>
  </si>
  <si>
    <t>TOTAL CAPITAL</t>
  </si>
  <si>
    <t>Comments</t>
  </si>
  <si>
    <t>DRAFT CAPITAL BUDGET 2021/22 MTREF</t>
  </si>
  <si>
    <t>MS: SAL &amp; ALL: BASIC SALARY &amp; WAGES (PEACE OFFICERS)</t>
  </si>
  <si>
    <t>8 Officers (5 Officers on level 6 &amp; 3 Officers level 4)</t>
  </si>
  <si>
    <t>Draft Budget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</si>
</sst>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8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164" fontId="0" fillId="0" borderId="0" xfId="1" applyNumberFormat="1" applyFont="1"/>
    <xf numFmtId="43" fontId="0" fillId="0" borderId="0" xfId="1" applyFont="1"/>
    <xf numFmtId="43" fontId="2" fillId="0" borderId="1" xfId="1" applyFont="1" applyBorder="1"/>
    <xf numFmtId="0" fontId="2" fillId="0" borderId="0" xfId="0" applyFont="1"/>
    <xf numFmtId="164" fontId="2" fillId="0" borderId="0" xfId="1" applyNumberFormat="1" applyFont="1"/>
    <xf numFmtId="43" fontId="0" fillId="0" borderId="0" xfId="0" applyNumberFormat="1"/>
    <xf numFmtId="0" fontId="3" fillId="0" borderId="0" xfId="0" applyFont="1"/>
    <xf numFmtId="43" fontId="2" fillId="0" borderId="0" xfId="1" applyFont="1" applyBorder="1"/>
    <xf numFmtId="0" fontId="0" fillId="2" borderId="0" xfId="0" applyFill="1"/>
    <xf numFmtId="43" fontId="3" fillId="2" borderId="0" xfId="1" applyFont="1" applyFill="1"/>
    <xf numFmtId="0" fontId="0" fillId="3" borderId="0" xfId="0" applyFill="1"/>
    <xf numFmtId="4" fontId="6" fillId="2" borderId="0" xfId="1" applyNumberFormat="1" applyFont="1" applyFill="1" applyBorder="1" applyAlignment="1">
      <alignment vertical="center"/>
    </xf>
    <xf numFmtId="4" fontId="6" fillId="2" borderId="0" xfId="0" applyNumberFormat="1" applyFont="1" applyFill="1" applyAlignment="1">
      <alignment vertical="center"/>
    </xf>
    <xf numFmtId="43" fontId="0" fillId="3" borderId="0" xfId="0" applyNumberFormat="1" applyFill="1"/>
    <xf numFmtId="43" fontId="3" fillId="3" borderId="0" xfId="1" applyFont="1" applyFill="1"/>
    <xf numFmtId="0" fontId="0" fillId="0" borderId="0" xfId="0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4" xfId="0" applyFont="1" applyFill="1" applyBorder="1"/>
    <xf numFmtId="43" fontId="7" fillId="3" borderId="4" xfId="1" applyFont="1" applyFill="1" applyBorder="1"/>
    <xf numFmtId="0" fontId="7" fillId="3" borderId="5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 wrapText="1" readingOrder="1"/>
    </xf>
    <xf numFmtId="43" fontId="3" fillId="0" borderId="0" xfId="1" applyFont="1"/>
    <xf numFmtId="0" fontId="8" fillId="0" borderId="0" xfId="0" applyFont="1" applyAlignment="1">
      <alignment horizontal="left" vertical="top" wrapText="1"/>
    </xf>
    <xf numFmtId="43" fontId="0" fillId="0" borderId="0" xfId="1" applyFont="1" applyAlignment="1">
      <alignment vertical="top"/>
    </xf>
    <xf numFmtId="43" fontId="0" fillId="0" borderId="0" xfId="0" applyNumberFormat="1" applyAlignment="1">
      <alignment vertical="top"/>
    </xf>
    <xf numFmtId="0" fontId="9" fillId="0" borderId="0" xfId="0" applyFont="1" applyAlignment="1">
      <alignment horizontal="left" vertical="top" wrapText="1" readingOrder="1"/>
    </xf>
    <xf numFmtId="43" fontId="3" fillId="4" borderId="0" xfId="1" applyFont="1" applyFill="1"/>
    <xf numFmtId="43" fontId="3" fillId="4" borderId="0" xfId="0" applyNumberFormat="1" applyFont="1" applyFill="1"/>
    <xf numFmtId="43" fontId="10" fillId="0" borderId="0" xfId="1" applyFont="1" applyFill="1"/>
    <xf numFmtId="43" fontId="0" fillId="5" borderId="0" xfId="1" applyFont="1" applyFill="1" applyAlignment="1"/>
    <xf numFmtId="43" fontId="0" fillId="5" borderId="0" xfId="0" applyNumberFormat="1" applyFill="1"/>
    <xf numFmtId="43" fontId="0" fillId="0" borderId="0" xfId="1" applyFont="1" applyAlignment="1"/>
    <xf numFmtId="43" fontId="0" fillId="0" borderId="0" xfId="1" applyFont="1" applyFill="1" applyAlignment="1"/>
    <xf numFmtId="0" fontId="11" fillId="0" borderId="0" xfId="0" applyFont="1" applyAlignment="1">
      <alignment horizontal="left" vertical="center" indent="3" readingOrder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 readingOrder="1"/>
    </xf>
    <xf numFmtId="43" fontId="0" fillId="0" borderId="0" xfId="1" applyFont="1" applyBorder="1"/>
    <xf numFmtId="43" fontId="2" fillId="0" borderId="1" xfId="0" applyNumberFormat="1" applyFont="1" applyBorder="1"/>
    <xf numFmtId="4" fontId="0" fillId="0" borderId="0" xfId="0" applyNumberFormat="1"/>
    <xf numFmtId="0" fontId="0" fillId="0" borderId="0" xfId="0" applyFill="1"/>
    <xf numFmtId="43" fontId="0" fillId="0" borderId="0" xfId="1" applyFont="1" applyFill="1"/>
    <xf numFmtId="0" fontId="2" fillId="0" borderId="0" xfId="0" applyFont="1" applyFill="1"/>
    <xf numFmtId="43" fontId="2" fillId="0" borderId="0" xfId="1" applyFont="1" applyFill="1" applyBorder="1"/>
    <xf numFmtId="0" fontId="0" fillId="0" borderId="0" xfId="0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center" wrapText="1"/>
    </xf>
    <xf numFmtId="43" fontId="2" fillId="7" borderId="6" xfId="1" applyFont="1" applyFill="1" applyBorder="1" applyAlignment="1">
      <alignment wrapText="1"/>
    </xf>
    <xf numFmtId="43" fontId="2" fillId="8" borderId="6" xfId="1" applyFont="1" applyFill="1" applyBorder="1" applyAlignment="1">
      <alignment wrapText="1"/>
    </xf>
    <xf numFmtId="0" fontId="0" fillId="0" borderId="7" xfId="0" applyBorder="1"/>
    <xf numFmtId="0" fontId="0" fillId="0" borderId="2" xfId="0" applyBorder="1"/>
    <xf numFmtId="43" fontId="2" fillId="7" borderId="2" xfId="1" applyFont="1" applyFill="1" applyBorder="1" applyAlignment="1">
      <alignment horizontal="left" wrapText="1"/>
    </xf>
    <xf numFmtId="43" fontId="2" fillId="9" borderId="8" xfId="1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43" fontId="2" fillId="7" borderId="10" xfId="1" applyFont="1" applyFill="1" applyBorder="1" applyAlignment="1">
      <alignment horizontal="left" wrapText="1"/>
    </xf>
    <xf numFmtId="43" fontId="2" fillId="9" borderId="11" xfId="1" applyFont="1" applyFill="1" applyBorder="1" applyAlignment="1">
      <alignment horizontal="left" wrapText="1"/>
    </xf>
    <xf numFmtId="43" fontId="2" fillId="7" borderId="6" xfId="1" applyFont="1" applyFill="1" applyBorder="1"/>
    <xf numFmtId="4" fontId="2" fillId="7" borderId="6" xfId="0" applyNumberFormat="1" applyFont="1" applyFill="1" applyBorder="1"/>
    <xf numFmtId="4" fontId="2" fillId="8" borderId="6" xfId="0" applyNumberFormat="1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wrapText="1"/>
    </xf>
    <xf numFmtId="43" fontId="0" fillId="0" borderId="15" xfId="1" applyFont="1" applyBorder="1"/>
    <xf numFmtId="43" fontId="0" fillId="0" borderId="16" xfId="1" applyFont="1" applyBorder="1"/>
    <xf numFmtId="43" fontId="2" fillId="7" borderId="3" xfId="1" applyFont="1" applyFill="1" applyBorder="1"/>
    <xf numFmtId="43" fontId="2" fillId="6" borderId="3" xfId="1" applyFont="1" applyFill="1" applyBorder="1"/>
    <xf numFmtId="0" fontId="2" fillId="0" borderId="12" xfId="0" applyFont="1" applyBorder="1"/>
    <xf numFmtId="43" fontId="2" fillId="0" borderId="6" xfId="1" applyFont="1" applyFill="1" applyBorder="1"/>
    <xf numFmtId="0" fontId="0" fillId="0" borderId="3" xfId="0" applyBorder="1"/>
    <xf numFmtId="0" fontId="0" fillId="0" borderId="4" xfId="0" applyBorder="1"/>
    <xf numFmtId="43" fontId="0" fillId="0" borderId="4" xfId="1" applyFont="1" applyBorder="1"/>
    <xf numFmtId="43" fontId="2" fillId="6" borderId="19" xfId="1" applyFont="1" applyFill="1" applyBorder="1"/>
    <xf numFmtId="43" fontId="2" fillId="7" borderId="19" xfId="1" applyFont="1" applyFill="1" applyBorder="1"/>
    <xf numFmtId="0" fontId="0" fillId="0" borderId="20" xfId="0" applyBorder="1"/>
    <xf numFmtId="0" fontId="0" fillId="0" borderId="15" xfId="0" applyBorder="1"/>
    <xf numFmtId="0" fontId="0" fillId="0" borderId="14" xfId="0" applyBorder="1"/>
    <xf numFmtId="43" fontId="0" fillId="0" borderId="14" xfId="1" applyFont="1" applyBorder="1"/>
    <xf numFmtId="43" fontId="0" fillId="0" borderId="21" xfId="1" applyFont="1" applyBorder="1"/>
    <xf numFmtId="43" fontId="0" fillId="0" borderId="22" xfId="1" applyFont="1" applyBorder="1"/>
    <xf numFmtId="43" fontId="0" fillId="0" borderId="23" xfId="1" applyFont="1" applyBorder="1"/>
    <xf numFmtId="43" fontId="0" fillId="0" borderId="24" xfId="1" applyFont="1" applyBorder="1"/>
    <xf numFmtId="43" fontId="0" fillId="0" borderId="25" xfId="1" applyFont="1" applyBorder="1"/>
    <xf numFmtId="43" fontId="0" fillId="0" borderId="28" xfId="1" applyFont="1" applyBorder="1"/>
    <xf numFmtId="43" fontId="0" fillId="0" borderId="29" xfId="1" applyFont="1" applyBorder="1"/>
    <xf numFmtId="43" fontId="2" fillId="8" borderId="6" xfId="1" applyFont="1" applyFill="1" applyBorder="1"/>
    <xf numFmtId="43" fontId="0" fillId="0" borderId="8" xfId="1" applyFont="1" applyBorder="1"/>
    <xf numFmtId="43" fontId="0" fillId="0" borderId="31" xfId="1" applyFont="1" applyBorder="1"/>
    <xf numFmtId="43" fontId="0" fillId="0" borderId="32" xfId="1" applyFont="1" applyBorder="1"/>
    <xf numFmtId="43" fontId="2" fillId="7" borderId="6" xfId="0" applyNumberFormat="1" applyFont="1" applyFill="1" applyBorder="1"/>
    <xf numFmtId="43" fontId="2" fillId="8" borderId="6" xfId="0" applyNumberFormat="1" applyFont="1" applyFill="1" applyBorder="1"/>
    <xf numFmtId="43" fontId="2" fillId="7" borderId="26" xfId="1" applyFont="1" applyFill="1" applyBorder="1" applyAlignment="1">
      <alignment horizontal="left" wrapText="1"/>
    </xf>
    <xf numFmtId="43" fontId="2" fillId="7" borderId="27" xfId="1" applyFont="1" applyFill="1" applyBorder="1" applyAlignment="1">
      <alignment horizontal="left" wrapText="1"/>
    </xf>
    <xf numFmtId="43" fontId="0" fillId="0" borderId="33" xfId="1" applyFont="1" applyBorder="1"/>
    <xf numFmtId="14" fontId="2" fillId="7" borderId="6" xfId="1" applyNumberFormat="1" applyFont="1" applyFill="1" applyBorder="1" applyAlignment="1">
      <alignment wrapText="1"/>
    </xf>
    <xf numFmtId="43" fontId="2" fillId="7" borderId="34" xfId="1" applyFont="1" applyFill="1" applyBorder="1" applyAlignment="1">
      <alignment wrapText="1"/>
    </xf>
    <xf numFmtId="43" fontId="0" fillId="0" borderId="2" xfId="1" applyFont="1" applyBorder="1"/>
    <xf numFmtId="0" fontId="2" fillId="0" borderId="0" xfId="0" applyFont="1" applyAlignment="1">
      <alignment wrapText="1"/>
    </xf>
    <xf numFmtId="164" fontId="0" fillId="0" borderId="2" xfId="1" applyNumberFormat="1" applyFont="1" applyBorder="1"/>
    <xf numFmtId="0" fontId="0" fillId="0" borderId="2" xfId="0" applyFill="1" applyBorder="1"/>
    <xf numFmtId="164" fontId="0" fillId="0" borderId="2" xfId="1" applyNumberFormat="1" applyFont="1" applyFill="1" applyBorder="1"/>
    <xf numFmtId="43" fontId="0" fillId="0" borderId="2" xfId="1" applyFont="1" applyFill="1" applyBorder="1"/>
    <xf numFmtId="43" fontId="0" fillId="0" borderId="2" xfId="0" applyNumberFormat="1" applyFill="1" applyBorder="1"/>
    <xf numFmtId="43" fontId="3" fillId="0" borderId="2" xfId="1" applyFont="1" applyFill="1" applyBorder="1"/>
    <xf numFmtId="43" fontId="1" fillId="0" borderId="2" xfId="1" applyFont="1" applyFill="1" applyBorder="1"/>
    <xf numFmtId="43" fontId="2" fillId="0" borderId="1" xfId="1" applyFont="1" applyFill="1" applyBorder="1"/>
    <xf numFmtId="164" fontId="10" fillId="0" borderId="2" xfId="1" applyNumberFormat="1" applyFont="1" applyFill="1" applyBorder="1"/>
    <xf numFmtId="0" fontId="10" fillId="0" borderId="2" xfId="0" applyFont="1" applyFill="1" applyBorder="1"/>
    <xf numFmtId="43" fontId="10" fillId="0" borderId="2" xfId="1" applyFont="1" applyFill="1" applyBorder="1"/>
    <xf numFmtId="43" fontId="10" fillId="0" borderId="2" xfId="0" applyNumberFormat="1" applyFont="1" applyFill="1" applyBorder="1"/>
    <xf numFmtId="0" fontId="14" fillId="0" borderId="2" xfId="0" applyFont="1" applyFill="1" applyBorder="1"/>
    <xf numFmtId="164" fontId="14" fillId="0" borderId="2" xfId="1" applyNumberFormat="1" applyFont="1" applyFill="1" applyBorder="1"/>
    <xf numFmtId="43" fontId="14" fillId="0" borderId="2" xfId="1" applyFont="1" applyFill="1" applyBorder="1"/>
    <xf numFmtId="43" fontId="10" fillId="0" borderId="2" xfId="1" applyFont="1" applyFill="1" applyBorder="1" applyAlignment="1">
      <alignment horizontal="right"/>
    </xf>
    <xf numFmtId="4" fontId="6" fillId="0" borderId="2" xfId="1" applyNumberFormat="1" applyFont="1" applyFill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4" fillId="0" borderId="2" xfId="0" applyFont="1" applyFill="1" applyBorder="1" applyAlignment="1">
      <alignment horizontal="left" vertical="top" wrapText="1"/>
    </xf>
    <xf numFmtId="43" fontId="14" fillId="0" borderId="2" xfId="0" applyNumberFormat="1" applyFont="1" applyFill="1" applyBorder="1"/>
    <xf numFmtId="0" fontId="2" fillId="0" borderId="2" xfId="0" applyFont="1" applyBorder="1"/>
    <xf numFmtId="164" fontId="2" fillId="0" borderId="2" xfId="1" applyNumberFormat="1" applyFont="1" applyBorder="1"/>
    <xf numFmtId="43" fontId="2" fillId="0" borderId="2" xfId="1" applyFont="1" applyBorder="1"/>
    <xf numFmtId="0" fontId="0" fillId="0" borderId="35" xfId="0" applyBorder="1"/>
    <xf numFmtId="0" fontId="2" fillId="0" borderId="35" xfId="0" applyFont="1" applyBorder="1"/>
    <xf numFmtId="43" fontId="2" fillId="0" borderId="35" xfId="1" applyFont="1" applyBorder="1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43" fontId="0" fillId="0" borderId="0" xfId="1" applyFont="1" applyAlignment="1">
      <alignment wrapText="1"/>
    </xf>
    <xf numFmtId="43" fontId="2" fillId="0" borderId="0" xfId="1" applyFont="1" applyAlignment="1">
      <alignment wrapText="1"/>
    </xf>
    <xf numFmtId="43" fontId="0" fillId="0" borderId="0" xfId="1" applyFont="1" applyFill="1" applyAlignment="1">
      <alignment wrapText="1"/>
    </xf>
    <xf numFmtId="0" fontId="2" fillId="0" borderId="2" xfId="0" applyFont="1" applyBorder="1" applyAlignment="1">
      <alignment wrapText="1"/>
    </xf>
    <xf numFmtId="0" fontId="0" fillId="0" borderId="2" xfId="0" applyFill="1" applyBorder="1" applyAlignment="1">
      <alignment wrapText="1"/>
    </xf>
    <xf numFmtId="164" fontId="0" fillId="0" borderId="36" xfId="1" applyNumberFormat="1" applyFont="1" applyBorder="1"/>
    <xf numFmtId="0" fontId="0" fillId="0" borderId="36" xfId="0" applyBorder="1"/>
    <xf numFmtId="43" fontId="0" fillId="0" borderId="36" xfId="1" applyFont="1" applyBorder="1"/>
    <xf numFmtId="0" fontId="8" fillId="0" borderId="2" xfId="0" applyFont="1" applyBorder="1" applyAlignment="1">
      <alignment horizontal="left" vertical="top" readingOrder="1"/>
    </xf>
    <xf numFmtId="0" fontId="0" fillId="0" borderId="37" xfId="0" applyBorder="1"/>
    <xf numFmtId="0" fontId="2" fillId="0" borderId="37" xfId="0" applyFont="1" applyBorder="1"/>
    <xf numFmtId="43" fontId="2" fillId="0" borderId="37" xfId="1" applyFont="1" applyBorder="1"/>
    <xf numFmtId="0" fontId="3" fillId="0" borderId="2" xfId="0" applyFont="1" applyFill="1" applyBorder="1"/>
    <xf numFmtId="164" fontId="3" fillId="0" borderId="2" xfId="1" applyNumberFormat="1" applyFont="1" applyFill="1" applyBorder="1"/>
    <xf numFmtId="164" fontId="13" fillId="0" borderId="2" xfId="1" applyNumberFormat="1" applyFont="1" applyFill="1" applyBorder="1"/>
    <xf numFmtId="0" fontId="13" fillId="0" borderId="2" xfId="0" applyFont="1" applyFill="1" applyBorder="1"/>
    <xf numFmtId="4" fontId="0" fillId="0" borderId="0" xfId="0" applyNumberFormat="1" applyFill="1"/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43" fontId="0" fillId="0" borderId="15" xfId="1" applyFont="1" applyFill="1" applyBorder="1"/>
    <xf numFmtId="43" fontId="2" fillId="0" borderId="3" xfId="1" applyFont="1" applyFill="1" applyBorder="1"/>
    <xf numFmtId="43" fontId="2" fillId="0" borderId="38" xfId="1" applyFont="1" applyBorder="1"/>
    <xf numFmtId="0" fontId="3" fillId="0" borderId="2" xfId="0" applyFont="1" applyBorder="1"/>
    <xf numFmtId="0" fontId="0" fillId="3" borderId="2" xfId="0" applyFill="1" applyBorder="1"/>
    <xf numFmtId="164" fontId="0" fillId="3" borderId="2" xfId="1" applyNumberFormat="1" applyFont="1" applyFill="1" applyBorder="1"/>
    <xf numFmtId="164" fontId="3" fillId="0" borderId="2" xfId="1" applyNumberFormat="1" applyFont="1" applyBorder="1"/>
    <xf numFmtId="43" fontId="3" fillId="0" borderId="2" xfId="1" applyFont="1" applyBorder="1"/>
    <xf numFmtId="0" fontId="10" fillId="2" borderId="2" xfId="0" applyFont="1" applyFill="1" applyBorder="1"/>
    <xf numFmtId="164" fontId="10" fillId="2" borderId="2" xfId="1" applyNumberFormat="1" applyFont="1" applyFill="1" applyBorder="1"/>
    <xf numFmtId="43" fontId="10" fillId="2" borderId="2" xfId="1" applyFont="1" applyFill="1" applyBorder="1"/>
    <xf numFmtId="4" fontId="10" fillId="2" borderId="2" xfId="0" applyNumberFormat="1" applyFont="1" applyFill="1" applyBorder="1" applyAlignment="1">
      <alignment vertical="center" wrapText="1"/>
    </xf>
    <xf numFmtId="0" fontId="10" fillId="0" borderId="2" xfId="0" applyFont="1" applyBorder="1"/>
    <xf numFmtId="43" fontId="10" fillId="0" borderId="2" xfId="0" applyNumberFormat="1" applyFont="1" applyBorder="1"/>
    <xf numFmtId="4" fontId="10" fillId="0" borderId="2" xfId="0" applyNumberFormat="1" applyFont="1" applyBorder="1"/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3" fontId="6" fillId="0" borderId="2" xfId="0" applyNumberFormat="1" applyFont="1" applyBorder="1" applyAlignment="1">
      <alignment vertical="center" wrapText="1"/>
    </xf>
    <xf numFmtId="0" fontId="14" fillId="0" borderId="2" xfId="0" applyFont="1" applyBorder="1"/>
    <xf numFmtId="0" fontId="2" fillId="6" borderId="2" xfId="0" applyFont="1" applyFill="1" applyBorder="1"/>
    <xf numFmtId="0" fontId="2" fillId="6" borderId="26" xfId="0" applyFont="1" applyFill="1" applyBorder="1"/>
    <xf numFmtId="0" fontId="2" fillId="0" borderId="0" xfId="0" applyFont="1" applyAlignment="1">
      <alignment wrapText="1"/>
    </xf>
    <xf numFmtId="0" fontId="2" fillId="6" borderId="3" xfId="0" applyFont="1" applyFill="1" applyBorder="1"/>
    <xf numFmtId="0" fontId="2" fillId="6" borderId="5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2" fillId="6" borderId="17" xfId="0" applyFont="1" applyFill="1" applyBorder="1"/>
    <xf numFmtId="0" fontId="2" fillId="6" borderId="18" xfId="0" applyFont="1" applyFill="1" applyBorder="1"/>
    <xf numFmtId="0" fontId="2" fillId="6" borderId="30" xfId="0" applyFont="1" applyFill="1" applyBorder="1"/>
    <xf numFmtId="0" fontId="2" fillId="6" borderId="0" xfId="0" applyFont="1" applyFill="1" applyAlignment="1">
      <alignment horizontal="center"/>
    </xf>
    <xf numFmtId="0" fontId="2" fillId="9" borderId="0" xfId="0" applyFont="1" applyFill="1" applyAlignment="1">
      <alignment wrapText="1"/>
    </xf>
    <xf numFmtId="0" fontId="3" fillId="2" borderId="0" xfId="0" applyFont="1" applyFill="1" applyAlignment="1">
      <alignment horizontal="left"/>
    </xf>
    <xf numFmtId="0" fontId="15" fillId="0" borderId="2" xfId="0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0" applyNumberFormat="1" applyAlignment="1">
      <alignment horizontal="center"/>
    </xf>
    <xf numFmtId="0" fontId="8" fillId="0" borderId="0" xfId="0" applyFont="1" applyAlignment="1">
      <alignment horizontal="left" vertical="top" wrapText="1" readingOrder="1"/>
    </xf>
    <xf numFmtId="43" fontId="0" fillId="0" borderId="0" xfId="1" applyFont="1" applyAlignment="1">
      <alignment horizontal="center" wrapText="1"/>
    </xf>
    <xf numFmtId="0" fontId="8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3</xdr:col>
      <xdr:colOff>285750</xdr:colOff>
      <xdr:row>58</xdr:row>
      <xdr:rowOff>95250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A7048331-3F56-40C3-901E-05FF3714C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09600" y="17554575"/>
          <a:ext cx="5715000" cy="42862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6</xdr:col>
      <xdr:colOff>723900</xdr:colOff>
      <xdr:row>58</xdr:row>
      <xdr:rowOff>95250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400792DA-7BFE-4A8D-B7E2-C12BBCD3D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353300" y="17554575"/>
          <a:ext cx="5715000" cy="42862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3</xdr:col>
      <xdr:colOff>285750</xdr:colOff>
      <xdr:row>82</xdr:row>
      <xdr:rowOff>95250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A113680C-82A5-4DAE-B4F0-152D4ADBC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609600" y="22126575"/>
          <a:ext cx="5715000" cy="4286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ekos/Desktop/2021%20financial%20year/Council%20Final%20Budget%20adjustment%20Feb%202021%2025%20Feb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ekos/AppData/Local/Microsoft/Windows/INetCache/Content.Outlook/TQO6A24Y/2021-22%20MTREF%20Draft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Revenue"/>
      <sheetName val="Opex"/>
      <sheetName val="Capex"/>
    </sheetNames>
    <sheetDataSet>
      <sheetData sheetId="0"/>
      <sheetData sheetId="1">
        <row r="10">
          <cell r="J10">
            <v>-85580927</v>
          </cell>
        </row>
        <row r="17">
          <cell r="J17">
            <v>-12723988</v>
          </cell>
        </row>
        <row r="26">
          <cell r="J26">
            <v>-92540830.189999998</v>
          </cell>
        </row>
        <row r="31">
          <cell r="J31">
            <v>-14160216</v>
          </cell>
        </row>
        <row r="41">
          <cell r="J41">
            <v>-997042853.96000004</v>
          </cell>
        </row>
      </sheetData>
      <sheetData sheetId="2">
        <row r="224">
          <cell r="K224">
            <v>8443903</v>
          </cell>
        </row>
        <row r="225">
          <cell r="K225">
            <v>26361132</v>
          </cell>
        </row>
        <row r="226">
          <cell r="K226">
            <v>8000000</v>
          </cell>
        </row>
        <row r="227">
          <cell r="K227">
            <v>25186126.9815</v>
          </cell>
        </row>
        <row r="228">
          <cell r="K228">
            <v>24257039.0185</v>
          </cell>
        </row>
      </sheetData>
      <sheetData sheetId="3">
        <row r="32">
          <cell r="K32">
            <v>50026122</v>
          </cell>
        </row>
        <row r="53">
          <cell r="K53">
            <v>53471000</v>
          </cell>
        </row>
        <row r="70">
          <cell r="K70">
            <v>359556798.99900001</v>
          </cell>
        </row>
        <row r="75">
          <cell r="K75">
            <v>40221000</v>
          </cell>
        </row>
        <row r="78">
          <cell r="K78">
            <v>2310000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Revenue"/>
      <sheetName val="Opex"/>
      <sheetName val="Capex"/>
      <sheetName val="Projects Priority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I104"/>
  <sheetViews>
    <sheetView tabSelected="1" workbookViewId="0">
      <selection activeCell="C4" sqref="C4:D4"/>
    </sheetView>
  </sheetViews>
  <sheetFormatPr defaultColWidth="8.85546875" defaultRowHeight="15" x14ac:dyDescent="0.25"/>
  <cols>
    <col min="3" max="3" width="5.28515625" bestFit="1" customWidth="1"/>
    <col min="4" max="4" width="19.7109375" customWidth="1"/>
    <col min="5" max="8" width="16.5703125" style="2" customWidth="1"/>
    <col min="9" max="9" width="16.42578125" style="2" customWidth="1"/>
  </cols>
  <sheetData>
    <row r="2" spans="3:9" ht="14.45" customHeight="1" x14ac:dyDescent="0.25">
      <c r="C2" s="170" t="s">
        <v>872</v>
      </c>
      <c r="D2" s="170"/>
    </row>
    <row r="3" spans="3:9" ht="14.45" customHeight="1" x14ac:dyDescent="0.25">
      <c r="C3" s="170" t="s">
        <v>908</v>
      </c>
      <c r="D3" s="170"/>
    </row>
    <row r="4" spans="3:9" x14ac:dyDescent="0.25">
      <c r="C4" s="170" t="s">
        <v>909</v>
      </c>
      <c r="D4" s="170"/>
    </row>
    <row r="5" spans="3:9" hidden="1" x14ac:dyDescent="0.25"/>
    <row r="6" spans="3:9" hidden="1" x14ac:dyDescent="0.25"/>
    <row r="7" spans="3:9" ht="15.75" thickBot="1" x14ac:dyDescent="0.3"/>
    <row r="8" spans="3:9" ht="60" customHeight="1" thickBot="1" x14ac:dyDescent="0.3">
      <c r="C8" s="45" t="s">
        <v>873</v>
      </c>
      <c r="D8" s="46" t="s">
        <v>2</v>
      </c>
      <c r="E8" s="47" t="s">
        <v>874</v>
      </c>
      <c r="F8" s="47" t="s">
        <v>910</v>
      </c>
      <c r="G8" s="96" t="s">
        <v>911</v>
      </c>
      <c r="H8" s="96" t="s">
        <v>912</v>
      </c>
      <c r="I8" s="48" t="s">
        <v>875</v>
      </c>
    </row>
    <row r="9" spans="3:9" x14ac:dyDescent="0.25">
      <c r="C9" s="49">
        <v>3405</v>
      </c>
      <c r="D9" s="50" t="s">
        <v>876</v>
      </c>
      <c r="E9" s="51">
        <f>[1]Revenue!J10</f>
        <v>-85580927</v>
      </c>
      <c r="F9" s="93">
        <f>Revenue!L15</f>
        <v>-95911202.900000006</v>
      </c>
      <c r="G9" s="93">
        <f>Revenue!M15</f>
        <v>-105502323.19000004</v>
      </c>
      <c r="H9" s="93">
        <f>Revenue!N15</f>
        <v>-116052555.50900006</v>
      </c>
      <c r="I9" s="52">
        <f>E9*0.55</f>
        <v>-47069509.850000001</v>
      </c>
    </row>
    <row r="10" spans="3:9" ht="21.6" customHeight="1" x14ac:dyDescent="0.25">
      <c r="C10" s="49">
        <v>3405</v>
      </c>
      <c r="D10" s="50" t="s">
        <v>877</v>
      </c>
      <c r="E10" s="51">
        <f>[1]Revenue!J31</f>
        <v>-14160216</v>
      </c>
      <c r="F10" s="93">
        <f>Revenue!L34</f>
        <v>-17485843.835999999</v>
      </c>
      <c r="G10" s="93">
        <f>Revenue!M34</f>
        <v>-18235825.514711998</v>
      </c>
      <c r="H10" s="93">
        <f>Revenue!N34</f>
        <v>-19056437.662874036</v>
      </c>
      <c r="I10" s="52">
        <f>E10</f>
        <v>-14160216</v>
      </c>
    </row>
    <row r="11" spans="3:9" x14ac:dyDescent="0.25">
      <c r="C11" s="49">
        <v>3405</v>
      </c>
      <c r="D11" s="50" t="s">
        <v>878</v>
      </c>
      <c r="E11" s="51">
        <f>[1]Revenue!J26</f>
        <v>-92540830.189999998</v>
      </c>
      <c r="F11" s="93">
        <f>Revenue!L30</f>
        <v>-17536828.100000001</v>
      </c>
      <c r="G11" s="93">
        <f>Revenue!M30</f>
        <v>-19164766.555000003</v>
      </c>
      <c r="H11" s="93">
        <f>Revenue!N30</f>
        <v>-20949211.637750007</v>
      </c>
      <c r="I11" s="52">
        <f>E11-[1]Revenue!J17</f>
        <v>-79816842.189999998</v>
      </c>
    </row>
    <row r="12" spans="3:9" ht="27" customHeight="1" thickBot="1" x14ac:dyDescent="0.3">
      <c r="C12" s="54">
        <v>3405</v>
      </c>
      <c r="D12" s="55" t="s">
        <v>879</v>
      </c>
      <c r="E12" s="57">
        <f>[1]Revenue!J41</f>
        <v>-997042853.96000004</v>
      </c>
      <c r="F12" s="94">
        <f>Revenue!L43</f>
        <v>-979804000</v>
      </c>
      <c r="G12" s="94">
        <f>Revenue!M43</f>
        <v>-1016668000</v>
      </c>
      <c r="H12" s="94">
        <f>Revenue!N43</f>
        <v>-1036432990</v>
      </c>
      <c r="I12" s="58">
        <f>E12</f>
        <v>-997042853.96000004</v>
      </c>
    </row>
    <row r="13" spans="3:9" ht="24" customHeight="1" thickBot="1" x14ac:dyDescent="0.3">
      <c r="C13" s="171" t="s">
        <v>880</v>
      </c>
      <c r="D13" s="172"/>
      <c r="E13" s="60">
        <f>SUM(E9:E12)</f>
        <v>-1189324827.1500001</v>
      </c>
      <c r="F13" s="60">
        <f>SUM(F9:F12)</f>
        <v>-1110737874.836</v>
      </c>
      <c r="G13" s="60">
        <f>SUM(G9:G12)</f>
        <v>-1159570915.259712</v>
      </c>
      <c r="H13" s="60">
        <f>SUM(H9:H12)</f>
        <v>-1192491194.8096242</v>
      </c>
      <c r="I13" s="61">
        <f>SUM(I9:I12)</f>
        <v>-1138089422</v>
      </c>
    </row>
    <row r="14" spans="3:9" ht="15.75" thickBot="1" x14ac:dyDescent="0.3">
      <c r="C14" s="62"/>
      <c r="E14" s="37"/>
      <c r="F14" s="37"/>
      <c r="G14" s="37"/>
      <c r="H14" s="37"/>
      <c r="I14" s="37"/>
    </row>
    <row r="15" spans="3:9" ht="56.45" customHeight="1" thickBot="1" x14ac:dyDescent="0.3">
      <c r="C15" s="171" t="s">
        <v>881</v>
      </c>
      <c r="D15" s="172"/>
      <c r="E15" s="97" t="s">
        <v>874</v>
      </c>
      <c r="F15" s="97" t="s">
        <v>910</v>
      </c>
      <c r="G15" s="97" t="s">
        <v>911</v>
      </c>
      <c r="H15" s="97" t="s">
        <v>912</v>
      </c>
      <c r="I15" s="48" t="s">
        <v>882</v>
      </c>
    </row>
    <row r="16" spans="3:9" ht="30" x14ac:dyDescent="0.25">
      <c r="C16" s="63">
        <v>3105</v>
      </c>
      <c r="D16" s="64" t="s">
        <v>883</v>
      </c>
      <c r="E16" s="103">
        <f>Opex!D69</f>
        <v>39166728</v>
      </c>
      <c r="F16" s="103">
        <f>Opex!L69</f>
        <v>42272943.81099999</v>
      </c>
      <c r="G16" s="98">
        <f>Opex!M69</f>
        <v>43768004.084603988</v>
      </c>
      <c r="H16" s="98">
        <f>Opex!N69</f>
        <v>46287873.94716917</v>
      </c>
      <c r="I16" s="66">
        <f>E16</f>
        <v>39166728</v>
      </c>
    </row>
    <row r="17" spans="3:9" ht="30" x14ac:dyDescent="0.25">
      <c r="C17" s="49">
        <v>3205</v>
      </c>
      <c r="D17" s="53" t="s">
        <v>884</v>
      </c>
      <c r="E17" s="103">
        <f>Opex!D121</f>
        <v>32099595</v>
      </c>
      <c r="F17" s="103">
        <f>Opex!L121</f>
        <v>38753120.379999995</v>
      </c>
      <c r="G17" s="98">
        <f>Opex!M121</f>
        <v>45200307.602799997</v>
      </c>
      <c r="H17" s="98">
        <f>Opex!N121</f>
        <v>49905326.058968008</v>
      </c>
      <c r="I17" s="66">
        <f t="shared" ref="I17:I24" si="0">E17</f>
        <v>32099595</v>
      </c>
    </row>
    <row r="18" spans="3:9" ht="30" x14ac:dyDescent="0.25">
      <c r="C18" s="49">
        <v>3305</v>
      </c>
      <c r="D18" s="53" t="s">
        <v>885</v>
      </c>
      <c r="E18" s="103">
        <f>Opex!D154</f>
        <v>86947191</v>
      </c>
      <c r="F18" s="103">
        <f>Opex!L154</f>
        <v>73779906.359999999</v>
      </c>
      <c r="G18" s="103">
        <f>Opex!M154</f>
        <v>75773958.783599988</v>
      </c>
      <c r="H18" s="98">
        <f>Opex!N154</f>
        <v>79497697.583376005</v>
      </c>
      <c r="I18" s="66">
        <f t="shared" si="0"/>
        <v>86947191</v>
      </c>
    </row>
    <row r="19" spans="3:9" x14ac:dyDescent="0.25">
      <c r="C19" s="49">
        <v>3405</v>
      </c>
      <c r="D19" s="53" t="s">
        <v>886</v>
      </c>
      <c r="E19" s="103">
        <f>Opex!D209</f>
        <v>206923230</v>
      </c>
      <c r="F19" s="103">
        <f>Opex!L209</f>
        <v>198210786.72400001</v>
      </c>
      <c r="G19" s="103">
        <f>Opex!M209</f>
        <v>207348355.53132397</v>
      </c>
      <c r="H19" s="98">
        <f>Opex!N209</f>
        <v>217431713.53923753</v>
      </c>
      <c r="I19" s="66">
        <f t="shared" si="0"/>
        <v>206923230</v>
      </c>
    </row>
    <row r="20" spans="3:9" ht="30" x14ac:dyDescent="0.25">
      <c r="C20" s="49">
        <v>3510</v>
      </c>
      <c r="D20" s="53" t="s">
        <v>887</v>
      </c>
      <c r="E20" s="103">
        <f>Opex!D273</f>
        <v>539483740</v>
      </c>
      <c r="F20" s="103">
        <f>Opex!L273</f>
        <v>533024592.90100002</v>
      </c>
      <c r="G20" s="103">
        <f>Opex!M273</f>
        <v>536713736.818084</v>
      </c>
      <c r="H20" s="98">
        <f>Opex!N273</f>
        <v>561908975.18095374</v>
      </c>
      <c r="I20" s="66">
        <f t="shared" si="0"/>
        <v>539483740</v>
      </c>
    </row>
    <row r="21" spans="3:9" ht="30" x14ac:dyDescent="0.25">
      <c r="C21" s="49">
        <v>3605</v>
      </c>
      <c r="D21" s="53" t="s">
        <v>888</v>
      </c>
      <c r="E21" s="103">
        <f>Opex!D312</f>
        <v>10221262</v>
      </c>
      <c r="F21" s="103">
        <f>Opex!L312</f>
        <v>16635057.720000001</v>
      </c>
      <c r="G21" s="103">
        <f>Opex!M312</f>
        <v>22150561.183200002</v>
      </c>
      <c r="H21" s="98">
        <f>Opex!N312</f>
        <v>20991794.854192004</v>
      </c>
      <c r="I21" s="66">
        <f t="shared" si="0"/>
        <v>10221262</v>
      </c>
    </row>
    <row r="22" spans="3:9" x14ac:dyDescent="0.25">
      <c r="C22" s="49">
        <v>3705</v>
      </c>
      <c r="D22" s="53" t="s">
        <v>889</v>
      </c>
      <c r="E22" s="103">
        <f>Opex!D354</f>
        <v>63649079</v>
      </c>
      <c r="F22" s="103">
        <f>Opex!L354</f>
        <v>70987803.36499998</v>
      </c>
      <c r="G22" s="103">
        <f>Opex!M354</f>
        <v>75163562.156525016</v>
      </c>
      <c r="H22" s="98">
        <f>Opex!N354</f>
        <v>79604744.336284578</v>
      </c>
      <c r="I22" s="66">
        <f t="shared" si="0"/>
        <v>63649079</v>
      </c>
    </row>
    <row r="23" spans="3:9" ht="45" x14ac:dyDescent="0.25">
      <c r="C23" s="49">
        <v>3805</v>
      </c>
      <c r="D23" s="53" t="s">
        <v>890</v>
      </c>
      <c r="E23" s="103">
        <f>Opex!D358</f>
        <v>5800000</v>
      </c>
      <c r="F23" s="103">
        <f>Opex!L358</f>
        <v>4537800</v>
      </c>
      <c r="G23" s="103">
        <f>Opex!M358</f>
        <v>4719312</v>
      </c>
      <c r="H23" s="98">
        <f>Opex!N358</f>
        <v>4931681.04</v>
      </c>
      <c r="I23" s="66">
        <f t="shared" si="0"/>
        <v>5800000</v>
      </c>
    </row>
    <row r="24" spans="3:9" ht="15.75" thickBot="1" x14ac:dyDescent="0.3">
      <c r="C24" s="54">
        <v>3905</v>
      </c>
      <c r="D24" s="56" t="s">
        <v>891</v>
      </c>
      <c r="E24" s="147">
        <f>Opex!D405</f>
        <v>112987126</v>
      </c>
      <c r="F24" s="147">
        <f>Opex!L405</f>
        <v>125221290.01199999</v>
      </c>
      <c r="G24" s="147">
        <f>Opex!M405</f>
        <v>131070624.77137199</v>
      </c>
      <c r="H24" s="65">
        <f>Opex!N405</f>
        <v>131567364.13425171</v>
      </c>
      <c r="I24" s="66">
        <f t="shared" si="0"/>
        <v>112987126</v>
      </c>
    </row>
    <row r="25" spans="3:9" ht="15.75" thickBot="1" x14ac:dyDescent="0.3">
      <c r="C25" s="171" t="s">
        <v>892</v>
      </c>
      <c r="D25" s="172"/>
      <c r="E25" s="148">
        <f>SUM(E16:E24)</f>
        <v>1097277951</v>
      </c>
      <c r="F25" s="148">
        <f>SUM(F16:F24)</f>
        <v>1103423301.273</v>
      </c>
      <c r="G25" s="67">
        <f>SUM(G16:G24)</f>
        <v>1141908422.931509</v>
      </c>
      <c r="H25" s="67">
        <f>SUM(H16:H24)</f>
        <v>1192127170.6744328</v>
      </c>
      <c r="I25" s="68">
        <f>SUM(I16:I24)</f>
        <v>1097277951</v>
      </c>
    </row>
    <row r="26" spans="3:9" ht="15.75" thickBot="1" x14ac:dyDescent="0.3">
      <c r="C26" s="69"/>
      <c r="D26" s="4"/>
      <c r="E26" s="43"/>
      <c r="F26" s="43"/>
      <c r="G26" s="43"/>
      <c r="H26" s="43"/>
      <c r="I26" s="43"/>
    </row>
    <row r="27" spans="3:9" ht="15.75" thickBot="1" x14ac:dyDescent="0.3">
      <c r="C27" s="173" t="s">
        <v>893</v>
      </c>
      <c r="D27" s="174"/>
      <c r="E27" s="70">
        <f>[1]Capex!K32</f>
        <v>50026122</v>
      </c>
      <c r="F27" s="70">
        <f>Capex!L34</f>
        <v>7100000</v>
      </c>
      <c r="G27" s="70">
        <f>Capex!M34</f>
        <v>2000000</v>
      </c>
      <c r="H27" s="70">
        <f>Capex!N34</f>
        <v>0</v>
      </c>
      <c r="I27" s="70">
        <f>E27</f>
        <v>50026122</v>
      </c>
    </row>
    <row r="28" spans="3:9" ht="15.75" thickBot="1" x14ac:dyDescent="0.3">
      <c r="C28" s="71"/>
      <c r="D28" s="72"/>
      <c r="E28" s="73"/>
      <c r="F28" s="37"/>
      <c r="G28" s="37"/>
      <c r="H28" s="37"/>
      <c r="I28" s="37"/>
    </row>
    <row r="29" spans="3:9" s="4" customFormat="1" ht="15.75" thickBot="1" x14ac:dyDescent="0.3">
      <c r="C29" s="175" t="s">
        <v>894</v>
      </c>
      <c r="D29" s="176"/>
      <c r="E29" s="75">
        <f>E13+E25+E27</f>
        <v>-42020754.150000095</v>
      </c>
      <c r="F29" s="75">
        <f>F13+F25+F27</f>
        <v>-214573.56299996376</v>
      </c>
      <c r="G29" s="75">
        <f>G13+G25+G27</f>
        <v>-15662492.328202963</v>
      </c>
      <c r="H29" s="75">
        <f>H13+H25+H27</f>
        <v>-364024.13519144058</v>
      </c>
      <c r="I29" s="74">
        <f>I13+I25+I27</f>
        <v>9214651</v>
      </c>
    </row>
    <row r="30" spans="3:9" ht="15.75" thickBot="1" x14ac:dyDescent="0.3"/>
    <row r="31" spans="3:9" ht="45.75" thickBot="1" x14ac:dyDescent="0.3">
      <c r="C31" s="171" t="s">
        <v>895</v>
      </c>
      <c r="D31" s="172"/>
      <c r="E31" s="47" t="s">
        <v>874</v>
      </c>
      <c r="F31" s="47" t="s">
        <v>910</v>
      </c>
      <c r="G31" s="47" t="s">
        <v>911</v>
      </c>
      <c r="H31" s="47" t="s">
        <v>912</v>
      </c>
      <c r="I31" s="48"/>
    </row>
    <row r="32" spans="3:9" x14ac:dyDescent="0.25">
      <c r="C32" s="76"/>
      <c r="D32" s="77"/>
      <c r="E32" s="81"/>
      <c r="F32" s="82"/>
      <c r="G32" s="82"/>
      <c r="H32" s="82"/>
      <c r="I32" s="82"/>
    </row>
    <row r="33" spans="3:9" x14ac:dyDescent="0.25">
      <c r="C33" s="62"/>
      <c r="D33" s="78" t="s">
        <v>896</v>
      </c>
      <c r="E33" s="83">
        <f>[1]Capex!K70</f>
        <v>359556798.99900001</v>
      </c>
      <c r="F33" s="84">
        <f>Capex!L53</f>
        <v>413560002</v>
      </c>
      <c r="G33" s="84">
        <f>Capex!M53</f>
        <v>475578002</v>
      </c>
      <c r="H33" s="84">
        <f>Capex!N53</f>
        <v>499222012</v>
      </c>
      <c r="I33" s="84">
        <f>E33</f>
        <v>359556798.99900001</v>
      </c>
    </row>
    <row r="34" spans="3:9" x14ac:dyDescent="0.25">
      <c r="C34" s="62"/>
      <c r="D34" s="50" t="s">
        <v>897</v>
      </c>
      <c r="E34" s="83">
        <f>[1]Capex!K78</f>
        <v>2310000</v>
      </c>
      <c r="F34" s="84">
        <f>Capex!L99</f>
        <v>2437000</v>
      </c>
      <c r="G34" s="84">
        <f>Capex!M99</f>
        <v>2578000</v>
      </c>
      <c r="H34" s="84">
        <f>Capex!N99</f>
        <v>2727000</v>
      </c>
      <c r="I34" s="84">
        <f>E34</f>
        <v>2310000</v>
      </c>
    </row>
    <row r="35" spans="3:9" x14ac:dyDescent="0.25">
      <c r="C35" s="62"/>
      <c r="D35" s="50" t="s">
        <v>898</v>
      </c>
      <c r="E35" s="83">
        <f>[1]Capex!K53</f>
        <v>53471000</v>
      </c>
      <c r="F35" s="84">
        <f>Capex!L90</f>
        <v>50000000</v>
      </c>
      <c r="G35" s="84">
        <f>Capex!M90</f>
        <v>61652000</v>
      </c>
      <c r="H35" s="84">
        <f>Capex!N90</f>
        <v>64425000</v>
      </c>
      <c r="I35" s="84">
        <f>E35</f>
        <v>53471000</v>
      </c>
    </row>
    <row r="36" spans="3:9" x14ac:dyDescent="0.25">
      <c r="C36" s="62"/>
      <c r="D36" s="50" t="s">
        <v>899</v>
      </c>
      <c r="E36" s="83">
        <f>[1]Capex!K75</f>
        <v>40221000</v>
      </c>
      <c r="F36" s="84">
        <f>Capex!L96</f>
        <v>0</v>
      </c>
      <c r="G36" s="84">
        <f>Capex!M96</f>
        <v>0</v>
      </c>
      <c r="H36" s="84">
        <f>Capex!N96</f>
        <v>0</v>
      </c>
      <c r="I36" s="84">
        <f>E36</f>
        <v>40221000</v>
      </c>
    </row>
    <row r="37" spans="3:9" ht="15.75" thickBot="1" x14ac:dyDescent="0.3">
      <c r="C37" s="62"/>
      <c r="D37" s="55" t="s">
        <v>900</v>
      </c>
      <c r="E37" s="85">
        <f>[1]Capex!K32</f>
        <v>50026122</v>
      </c>
      <c r="F37" s="86">
        <f>Capex!L34</f>
        <v>7100000</v>
      </c>
      <c r="G37" s="86">
        <f>Capex!M34</f>
        <v>2000000</v>
      </c>
      <c r="H37" s="86">
        <f>Capex!N34</f>
        <v>0</v>
      </c>
      <c r="I37" s="86">
        <f>E37</f>
        <v>50026122</v>
      </c>
    </row>
    <row r="38" spans="3:9" ht="15.75" thickBot="1" x14ac:dyDescent="0.3">
      <c r="C38" s="171" t="s">
        <v>901</v>
      </c>
      <c r="D38" s="177"/>
      <c r="E38" s="59">
        <f>SUM(E33:E37)</f>
        <v>505584920.99900001</v>
      </c>
      <c r="F38" s="59">
        <f>SUM(F33:F37)</f>
        <v>473097002</v>
      </c>
      <c r="G38" s="59">
        <f>SUM(G33:G37)</f>
        <v>541808002</v>
      </c>
      <c r="H38" s="59">
        <f>SUM(H33:H37)</f>
        <v>566374012</v>
      </c>
      <c r="I38" s="87">
        <f>SUM(I33:I37)</f>
        <v>505584920.99900001</v>
      </c>
    </row>
    <row r="40" spans="3:9" ht="15.75" thickBot="1" x14ac:dyDescent="0.3">
      <c r="C40" s="178" t="s">
        <v>902</v>
      </c>
      <c r="D40" s="178"/>
    </row>
    <row r="41" spans="3:9" ht="45.75" thickBot="1" x14ac:dyDescent="0.3">
      <c r="E41" s="47" t="s">
        <v>903</v>
      </c>
      <c r="F41" s="47" t="s">
        <v>910</v>
      </c>
      <c r="G41" s="47" t="s">
        <v>911</v>
      </c>
      <c r="H41" s="47" t="s">
        <v>912</v>
      </c>
      <c r="I41" s="48"/>
    </row>
    <row r="42" spans="3:9" x14ac:dyDescent="0.25">
      <c r="C42" s="50"/>
      <c r="D42" s="50" t="s">
        <v>904</v>
      </c>
      <c r="E42" s="79">
        <f>[1]Opex!K224+[1]Opex!K225+[1]Opex!K226+[1]Opex!K227+[1]Opex!K228</f>
        <v>92248201</v>
      </c>
      <c r="F42" s="80">
        <f>Opex!L218+Opex!L219+Opex!L220+Opex!L221+Opex!L222</f>
        <v>70000000</v>
      </c>
      <c r="G42" s="80">
        <f>Opex!M408</f>
        <v>50000000</v>
      </c>
      <c r="H42" s="80">
        <f>Opex!N408</f>
        <v>50000000</v>
      </c>
      <c r="I42" s="66">
        <f>E42</f>
        <v>92248201</v>
      </c>
    </row>
    <row r="43" spans="3:9" x14ac:dyDescent="0.25">
      <c r="C43" s="50"/>
      <c r="D43" s="50" t="s">
        <v>905</v>
      </c>
      <c r="E43" s="79">
        <v>20000000</v>
      </c>
      <c r="F43" s="80">
        <f>20492000</f>
        <v>20492000</v>
      </c>
      <c r="G43" s="80">
        <v>21999000</v>
      </c>
      <c r="H43" s="80">
        <v>24334990</v>
      </c>
      <c r="I43" s="88">
        <f>E43</f>
        <v>20000000</v>
      </c>
    </row>
    <row r="44" spans="3:9" ht="15.75" thickBot="1" x14ac:dyDescent="0.3">
      <c r="C44" s="50"/>
      <c r="D44" s="50" t="s">
        <v>906</v>
      </c>
      <c r="E44" s="89">
        <f>[1]Capex!K70</f>
        <v>359556798.99900001</v>
      </c>
      <c r="F44" s="95">
        <f>Capex!L53</f>
        <v>413560002</v>
      </c>
      <c r="G44" s="95">
        <f>Capex!M53</f>
        <v>475578002</v>
      </c>
      <c r="H44" s="95">
        <f>Capex!N53</f>
        <v>499222012</v>
      </c>
      <c r="I44" s="90">
        <f>E44</f>
        <v>359556798.99900001</v>
      </c>
    </row>
    <row r="45" spans="3:9" ht="15.75" thickBot="1" x14ac:dyDescent="0.3">
      <c r="C45" s="168" t="s">
        <v>907</v>
      </c>
      <c r="D45" s="169"/>
      <c r="E45" s="91">
        <f>SUM(E42:E44)</f>
        <v>471804999.99900001</v>
      </c>
      <c r="F45" s="91">
        <f>SUM(F42:F44)</f>
        <v>504052002</v>
      </c>
      <c r="G45" s="91">
        <f>SUM(G42:G44)</f>
        <v>547577002</v>
      </c>
      <c r="H45" s="91">
        <f>SUM(H42:H44)</f>
        <v>573557002</v>
      </c>
      <c r="I45" s="92">
        <f>SUM(I42:I44)</f>
        <v>471804999.99900001</v>
      </c>
    </row>
    <row r="54" spans="6:8" x14ac:dyDescent="0.25">
      <c r="F54" s="41"/>
      <c r="G54" s="41"/>
      <c r="H54" s="41"/>
    </row>
    <row r="104" spans="4:4" x14ac:dyDescent="0.25">
      <c r="D104" t="s">
        <v>906</v>
      </c>
    </row>
  </sheetData>
  <mergeCells count="12">
    <mergeCell ref="C45:D45"/>
    <mergeCell ref="C2:D2"/>
    <mergeCell ref="C3:D3"/>
    <mergeCell ref="C4:D4"/>
    <mergeCell ref="C13:D13"/>
    <mergeCell ref="C15:D15"/>
    <mergeCell ref="C25:D25"/>
    <mergeCell ref="C27:D27"/>
    <mergeCell ref="C29:D29"/>
    <mergeCell ref="C31:D31"/>
    <mergeCell ref="C38:D38"/>
    <mergeCell ref="C40:D40"/>
  </mergeCells>
  <pageMargins left="0.7" right="0.7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workbookViewId="0">
      <pane ySplit="4" topLeftCell="A5" activePane="bottomLeft" state="frozen"/>
      <selection pane="bottomLeft" activeCell="D52" sqref="D52"/>
    </sheetView>
  </sheetViews>
  <sheetFormatPr defaultRowHeight="15" x14ac:dyDescent="0.25"/>
  <cols>
    <col min="1" max="1" width="4.140625" bestFit="1" customWidth="1"/>
    <col min="2" max="2" width="25.85546875" bestFit="1" customWidth="1"/>
    <col min="3" max="3" width="46.42578125" bestFit="1" customWidth="1"/>
    <col min="4" max="4" width="15" style="2" bestFit="1" customWidth="1"/>
    <col min="5" max="5" width="0" style="2" hidden="1" customWidth="1"/>
    <col min="6" max="6" width="14" style="2" hidden="1" customWidth="1"/>
    <col min="7" max="7" width="9.28515625" style="2" hidden="1" customWidth="1"/>
    <col min="8" max="8" width="15" style="2" hidden="1" customWidth="1"/>
    <col min="9" max="9" width="0" style="2" hidden="1" customWidth="1"/>
    <col min="10" max="10" width="15" style="2" hidden="1" customWidth="1"/>
    <col min="11" max="11" width="9.28515625" style="2" hidden="1" customWidth="1"/>
    <col min="12" max="12" width="19.7109375" style="2" bestFit="1" customWidth="1"/>
    <col min="13" max="14" width="16.42578125" style="2" bestFit="1" customWidth="1"/>
  </cols>
  <sheetData>
    <row r="1" spans="1:14" ht="15" customHeight="1" x14ac:dyDescent="0.25">
      <c r="B1" s="179" t="s">
        <v>872</v>
      </c>
      <c r="C1" s="179"/>
    </row>
    <row r="2" spans="1:14" ht="15" customHeight="1" x14ac:dyDescent="0.25">
      <c r="B2" s="179" t="s">
        <v>930</v>
      </c>
      <c r="C2" s="179"/>
    </row>
    <row r="3" spans="1:14" x14ac:dyDescent="0.25">
      <c r="B3" s="179" t="s">
        <v>909</v>
      </c>
      <c r="C3" s="179"/>
    </row>
    <row r="4" spans="1:14" s="4" customFormat="1" x14ac:dyDescent="0.25">
      <c r="A4" s="120" t="s">
        <v>0</v>
      </c>
      <c r="B4" s="121" t="s">
        <v>1</v>
      </c>
      <c r="C4" s="120" t="s">
        <v>2</v>
      </c>
      <c r="D4" s="122" t="s">
        <v>3</v>
      </c>
      <c r="E4" s="122" t="s">
        <v>4</v>
      </c>
      <c r="F4" s="122" t="s">
        <v>5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692</v>
      </c>
      <c r="M4" s="122" t="s">
        <v>693</v>
      </c>
      <c r="N4" s="122" t="s">
        <v>694</v>
      </c>
    </row>
    <row r="5" spans="1:14" x14ac:dyDescent="0.25">
      <c r="A5" s="50" t="s">
        <v>11</v>
      </c>
      <c r="B5" s="100" t="s">
        <v>213</v>
      </c>
      <c r="C5" s="150" t="s">
        <v>711</v>
      </c>
      <c r="D5" s="98">
        <v>0</v>
      </c>
      <c r="E5" s="98"/>
      <c r="F5" s="98">
        <v>0</v>
      </c>
      <c r="G5" s="98">
        <v>0</v>
      </c>
      <c r="H5" s="98">
        <v>-3833.85</v>
      </c>
      <c r="I5" s="98"/>
      <c r="J5" s="98">
        <v>3833.85</v>
      </c>
      <c r="K5" s="98">
        <v>0</v>
      </c>
      <c r="L5" s="98">
        <v>-50000</v>
      </c>
      <c r="M5" s="98">
        <f>L5*1.1</f>
        <v>-55000.000000000007</v>
      </c>
      <c r="N5" s="98">
        <f>M5*1.1</f>
        <v>-60500.000000000015</v>
      </c>
    </row>
    <row r="6" spans="1:14" x14ac:dyDescent="0.25">
      <c r="A6" s="50" t="s">
        <v>11</v>
      </c>
      <c r="B6" s="100" t="s">
        <v>211</v>
      </c>
      <c r="C6" s="50" t="s">
        <v>212</v>
      </c>
      <c r="D6" s="98">
        <v>-2813</v>
      </c>
      <c r="E6" s="98"/>
      <c r="F6" s="98">
        <v>0</v>
      </c>
      <c r="G6" s="98">
        <v>0</v>
      </c>
      <c r="H6" s="98">
        <v>0</v>
      </c>
      <c r="I6" s="98"/>
      <c r="J6" s="98">
        <v>-2813</v>
      </c>
      <c r="K6" s="98">
        <v>0</v>
      </c>
      <c r="L6" s="98">
        <f>D6*1.1</f>
        <v>-3094.3</v>
      </c>
      <c r="M6" s="98">
        <f t="shared" ref="M6:N15" si="0">L6*1.1</f>
        <v>-3403.7300000000005</v>
      </c>
      <c r="N6" s="98">
        <f t="shared" si="0"/>
        <v>-3744.103000000001</v>
      </c>
    </row>
    <row r="7" spans="1:14" x14ac:dyDescent="0.25">
      <c r="A7" s="151" t="s">
        <v>11</v>
      </c>
      <c r="B7" s="152" t="s">
        <v>240</v>
      </c>
      <c r="C7" s="151" t="s">
        <v>241</v>
      </c>
      <c r="D7" s="98"/>
      <c r="E7" s="98"/>
      <c r="F7" s="98"/>
      <c r="G7" s="98"/>
      <c r="H7" s="98"/>
      <c r="I7" s="98"/>
      <c r="J7" s="98"/>
      <c r="K7" s="98"/>
      <c r="L7" s="98"/>
      <c r="M7" s="98">
        <f t="shared" si="0"/>
        <v>0</v>
      </c>
      <c r="N7" s="98">
        <f t="shared" si="0"/>
        <v>0</v>
      </c>
    </row>
    <row r="8" spans="1:14" x14ac:dyDescent="0.25">
      <c r="A8" s="50" t="s">
        <v>11</v>
      </c>
      <c r="B8" s="100" t="s">
        <v>242</v>
      </c>
      <c r="C8" s="50" t="s">
        <v>243</v>
      </c>
      <c r="D8" s="98">
        <v>0</v>
      </c>
      <c r="E8" s="98"/>
      <c r="F8" s="98">
        <v>0</v>
      </c>
      <c r="G8" s="98">
        <v>0</v>
      </c>
      <c r="H8" s="98">
        <v>0</v>
      </c>
      <c r="I8" s="98"/>
      <c r="J8" s="98">
        <v>0</v>
      </c>
      <c r="K8" s="98">
        <v>0</v>
      </c>
      <c r="L8" s="98">
        <v>-250000</v>
      </c>
      <c r="M8" s="98">
        <f t="shared" si="0"/>
        <v>-275000</v>
      </c>
      <c r="N8" s="98">
        <f t="shared" si="0"/>
        <v>-302500</v>
      </c>
    </row>
    <row r="9" spans="1:14" x14ac:dyDescent="0.25">
      <c r="A9" s="50" t="s">
        <v>11</v>
      </c>
      <c r="B9" s="100" t="s">
        <v>244</v>
      </c>
      <c r="C9" s="50" t="s">
        <v>245</v>
      </c>
      <c r="D9" s="98">
        <v>-4772276</v>
      </c>
      <c r="E9" s="98"/>
      <c r="F9" s="98">
        <v>-446770.02</v>
      </c>
      <c r="G9" s="98">
        <v>0</v>
      </c>
      <c r="H9" s="98">
        <v>-3232053.16</v>
      </c>
      <c r="I9" s="98"/>
      <c r="J9" s="98">
        <v>-1540222.84</v>
      </c>
      <c r="K9" s="98">
        <v>67.72</v>
      </c>
      <c r="L9" s="98">
        <f>D9*1.1</f>
        <v>-5249503.6000000006</v>
      </c>
      <c r="M9" s="98">
        <f t="shared" si="0"/>
        <v>-5774453.9600000009</v>
      </c>
      <c r="N9" s="98">
        <f t="shared" si="0"/>
        <v>-6351899.3560000015</v>
      </c>
    </row>
    <row r="10" spans="1:14" x14ac:dyDescent="0.25">
      <c r="A10" s="50" t="s">
        <v>11</v>
      </c>
      <c r="B10" s="100" t="s">
        <v>246</v>
      </c>
      <c r="C10" s="50" t="s">
        <v>247</v>
      </c>
      <c r="D10" s="98">
        <v>-7304689</v>
      </c>
      <c r="E10" s="98"/>
      <c r="F10" s="98">
        <v>-633615.49</v>
      </c>
      <c r="G10" s="98">
        <v>0</v>
      </c>
      <c r="H10" s="98">
        <v>-4990820.6900000004</v>
      </c>
      <c r="I10" s="98"/>
      <c r="J10" s="98">
        <v>-2313868.31</v>
      </c>
      <c r="K10" s="98">
        <v>68.319999999999993</v>
      </c>
      <c r="L10" s="98">
        <f>D10*1.1</f>
        <v>-8035157.9000000004</v>
      </c>
      <c r="M10" s="98">
        <f t="shared" si="0"/>
        <v>-8838673.6900000013</v>
      </c>
      <c r="N10" s="98">
        <f t="shared" si="0"/>
        <v>-9722541.0590000022</v>
      </c>
    </row>
    <row r="11" spans="1:14" x14ac:dyDescent="0.25">
      <c r="A11" s="50" t="s">
        <v>11</v>
      </c>
      <c r="B11" s="100" t="s">
        <v>248</v>
      </c>
      <c r="C11" s="50" t="s">
        <v>249</v>
      </c>
      <c r="D11" s="98">
        <v>-28102</v>
      </c>
      <c r="E11" s="98"/>
      <c r="F11" s="98">
        <v>0</v>
      </c>
      <c r="G11" s="98">
        <v>0</v>
      </c>
      <c r="H11" s="98">
        <v>-14051.06</v>
      </c>
      <c r="I11" s="98"/>
      <c r="J11" s="98">
        <v>-14050.94</v>
      </c>
      <c r="K11" s="98">
        <v>50</v>
      </c>
      <c r="L11" s="98">
        <v>-1500000</v>
      </c>
      <c r="M11" s="98">
        <f t="shared" si="0"/>
        <v>-1650000.0000000002</v>
      </c>
      <c r="N11" s="98">
        <f t="shared" si="0"/>
        <v>-1815000.0000000005</v>
      </c>
    </row>
    <row r="12" spans="1:14" x14ac:dyDescent="0.25">
      <c r="A12" s="50" t="s">
        <v>11</v>
      </c>
      <c r="B12" s="100" t="s">
        <v>250</v>
      </c>
      <c r="C12" s="50" t="s">
        <v>251</v>
      </c>
      <c r="D12" s="98">
        <v>-64890979</v>
      </c>
      <c r="E12" s="98"/>
      <c r="F12" s="98">
        <v>-5061019.46</v>
      </c>
      <c r="G12" s="98">
        <v>0</v>
      </c>
      <c r="H12" s="98">
        <v>-43528119.340000004</v>
      </c>
      <c r="I12" s="98"/>
      <c r="J12" s="98">
        <v>-21362859.66</v>
      </c>
      <c r="K12" s="98">
        <v>67.069999999999993</v>
      </c>
      <c r="L12" s="98">
        <f>D12*1.1</f>
        <v>-71380076.900000006</v>
      </c>
      <c r="M12" s="98">
        <f t="shared" si="0"/>
        <v>-78518084.590000018</v>
      </c>
      <c r="N12" s="98">
        <f t="shared" si="0"/>
        <v>-86369893.049000025</v>
      </c>
    </row>
    <row r="13" spans="1:14" x14ac:dyDescent="0.25">
      <c r="A13" s="50" t="s">
        <v>11</v>
      </c>
      <c r="B13" s="100" t="s">
        <v>252</v>
      </c>
      <c r="C13" s="50" t="s">
        <v>253</v>
      </c>
      <c r="D13" s="98">
        <v>-151983</v>
      </c>
      <c r="E13" s="98"/>
      <c r="F13" s="98">
        <v>-5956.48</v>
      </c>
      <c r="G13" s="98">
        <v>0</v>
      </c>
      <c r="H13" s="98">
        <v>-90599.9</v>
      </c>
      <c r="I13" s="98"/>
      <c r="J13" s="98">
        <v>-61383.1</v>
      </c>
      <c r="K13" s="98">
        <v>59.61</v>
      </c>
      <c r="L13" s="98">
        <f>D13*1.1</f>
        <v>-167181.30000000002</v>
      </c>
      <c r="M13" s="98">
        <f t="shared" si="0"/>
        <v>-183899.43000000002</v>
      </c>
      <c r="N13" s="98">
        <f t="shared" si="0"/>
        <v>-202289.37300000005</v>
      </c>
    </row>
    <row r="14" spans="1:14" x14ac:dyDescent="0.25">
      <c r="A14" s="50" t="s">
        <v>11</v>
      </c>
      <c r="B14" s="100" t="s">
        <v>254</v>
      </c>
      <c r="C14" s="50" t="s">
        <v>255</v>
      </c>
      <c r="D14" s="98">
        <v>-8432899</v>
      </c>
      <c r="E14" s="98"/>
      <c r="F14" s="98">
        <v>-707208.25</v>
      </c>
      <c r="G14" s="98">
        <v>0</v>
      </c>
      <c r="H14" s="98">
        <v>-5627455.1100000003</v>
      </c>
      <c r="I14" s="98"/>
      <c r="J14" s="98">
        <v>-2805443.89</v>
      </c>
      <c r="K14" s="98">
        <v>66.73</v>
      </c>
      <c r="L14" s="98">
        <f>D14*1.1</f>
        <v>-9276188.9000000004</v>
      </c>
      <c r="M14" s="98">
        <f t="shared" si="0"/>
        <v>-10203807.790000001</v>
      </c>
      <c r="N14" s="98">
        <f t="shared" si="0"/>
        <v>-11224188.569000002</v>
      </c>
    </row>
    <row r="15" spans="1:14" s="4" customFormat="1" ht="15.75" thickBot="1" x14ac:dyDescent="0.3">
      <c r="B15" s="5"/>
      <c r="C15" s="4" t="s">
        <v>691</v>
      </c>
      <c r="D15" s="149">
        <f t="shared" ref="D15:K15" si="1">SUM(D5:D14)</f>
        <v>-85583741</v>
      </c>
      <c r="E15" s="149">
        <f t="shared" si="1"/>
        <v>0</v>
      </c>
      <c r="F15" s="149">
        <f t="shared" si="1"/>
        <v>-6854569.7000000002</v>
      </c>
      <c r="G15" s="149">
        <f t="shared" si="1"/>
        <v>0</v>
      </c>
      <c r="H15" s="149">
        <f t="shared" si="1"/>
        <v>-57486933.109999999</v>
      </c>
      <c r="I15" s="149">
        <f t="shared" si="1"/>
        <v>0</v>
      </c>
      <c r="J15" s="149">
        <f t="shared" si="1"/>
        <v>-28096807.890000001</v>
      </c>
      <c r="K15" s="149">
        <f t="shared" si="1"/>
        <v>379.45</v>
      </c>
      <c r="L15" s="149">
        <f>SUM(L5:L14)</f>
        <v>-95911202.900000006</v>
      </c>
      <c r="M15" s="149">
        <f>SUM(M5:M14)</f>
        <v>-105502323.19000004</v>
      </c>
      <c r="N15" s="149">
        <f t="shared" si="0"/>
        <v>-116052555.50900006</v>
      </c>
    </row>
    <row r="17" spans="1:14" x14ac:dyDescent="0.25">
      <c r="A17" s="50" t="s">
        <v>11</v>
      </c>
      <c r="B17" s="100" t="s">
        <v>214</v>
      </c>
      <c r="C17" s="50" t="s">
        <v>215</v>
      </c>
      <c r="D17" s="98">
        <v>-6495</v>
      </c>
      <c r="E17" s="98"/>
      <c r="F17" s="98">
        <v>0</v>
      </c>
      <c r="G17" s="98">
        <v>0</v>
      </c>
      <c r="H17" s="98">
        <v>0</v>
      </c>
      <c r="I17" s="98"/>
      <c r="J17" s="98">
        <v>-6495</v>
      </c>
      <c r="K17" s="98">
        <v>0</v>
      </c>
      <c r="L17" s="98">
        <f>D17*1.1</f>
        <v>-7144.5000000000009</v>
      </c>
      <c r="M17" s="98">
        <f>L17*1.1</f>
        <v>-7858.9500000000016</v>
      </c>
      <c r="N17" s="98">
        <f>M17*1.1</f>
        <v>-8644.845000000003</v>
      </c>
    </row>
    <row r="18" spans="1:14" x14ac:dyDescent="0.25">
      <c r="A18" s="50" t="s">
        <v>11</v>
      </c>
      <c r="B18" s="100" t="s">
        <v>216</v>
      </c>
      <c r="C18" s="50" t="s">
        <v>217</v>
      </c>
      <c r="D18" s="98">
        <v>-46000</v>
      </c>
      <c r="E18" s="98"/>
      <c r="F18" s="98">
        <v>0</v>
      </c>
      <c r="G18" s="98">
        <v>0</v>
      </c>
      <c r="H18" s="98">
        <v>0</v>
      </c>
      <c r="I18" s="98"/>
      <c r="J18" s="98">
        <v>-46000</v>
      </c>
      <c r="K18" s="98">
        <v>0</v>
      </c>
      <c r="L18" s="98">
        <f>D18*1.1</f>
        <v>-50600.000000000007</v>
      </c>
      <c r="M18" s="98">
        <f t="shared" ref="M18:N29" si="2">L18*1.1</f>
        <v>-55660.000000000015</v>
      </c>
      <c r="N18" s="98">
        <f t="shared" si="2"/>
        <v>-61226.000000000022</v>
      </c>
    </row>
    <row r="19" spans="1:14" x14ac:dyDescent="0.25">
      <c r="A19" s="50" t="s">
        <v>11</v>
      </c>
      <c r="B19" s="100" t="s">
        <v>262</v>
      </c>
      <c r="C19" s="50" t="s">
        <v>263</v>
      </c>
      <c r="D19" s="98">
        <v>-11665</v>
      </c>
      <c r="E19" s="98"/>
      <c r="F19" s="98">
        <v>0</v>
      </c>
      <c r="G19" s="98">
        <v>0</v>
      </c>
      <c r="H19" s="98">
        <v>0</v>
      </c>
      <c r="I19" s="98"/>
      <c r="J19" s="98">
        <v>-11665</v>
      </c>
      <c r="K19" s="98">
        <v>0</v>
      </c>
      <c r="L19" s="98">
        <f>D19*1.1</f>
        <v>-12831.500000000002</v>
      </c>
      <c r="M19" s="98">
        <f t="shared" si="2"/>
        <v>-14114.650000000003</v>
      </c>
      <c r="N19" s="98">
        <f t="shared" si="2"/>
        <v>-15526.115000000005</v>
      </c>
    </row>
    <row r="20" spans="1:14" s="7" customFormat="1" x14ac:dyDescent="0.25">
      <c r="A20" s="150" t="s">
        <v>11</v>
      </c>
      <c r="B20" s="153" t="s">
        <v>256</v>
      </c>
      <c r="C20" s="150" t="s">
        <v>257</v>
      </c>
      <c r="D20" s="154">
        <v>-12723988</v>
      </c>
      <c r="E20" s="154"/>
      <c r="F20" s="154">
        <v>-1098916.58</v>
      </c>
      <c r="G20" s="154">
        <v>0</v>
      </c>
      <c r="H20" s="154">
        <v>-8341307.4400000004</v>
      </c>
      <c r="I20" s="154"/>
      <c r="J20" s="154">
        <v>-4382680.5599999996</v>
      </c>
      <c r="K20" s="154">
        <v>65.55</v>
      </c>
      <c r="L20" s="154">
        <f>D20*1.1</f>
        <v>-13996386.800000001</v>
      </c>
      <c r="M20" s="154">
        <f>L20*1.1</f>
        <v>-15396025.480000002</v>
      </c>
      <c r="N20" s="154">
        <f>M20*1.1</f>
        <v>-16935628.028000005</v>
      </c>
    </row>
    <row r="21" spans="1:14" x14ac:dyDescent="0.25">
      <c r="A21" s="50" t="s">
        <v>11</v>
      </c>
      <c r="B21" s="100" t="s">
        <v>264</v>
      </c>
      <c r="C21" s="50" t="s">
        <v>265</v>
      </c>
      <c r="D21" s="98">
        <v>-11088</v>
      </c>
      <c r="E21" s="98"/>
      <c r="F21" s="98">
        <v>-224.52</v>
      </c>
      <c r="G21" s="98">
        <v>0</v>
      </c>
      <c r="H21" s="98">
        <v>-4864.37</v>
      </c>
      <c r="I21" s="98"/>
      <c r="J21" s="98">
        <v>-6223.63</v>
      </c>
      <c r="K21" s="98">
        <v>43.87</v>
      </c>
      <c r="L21" s="98">
        <f>D21*1.1</f>
        <v>-12196.800000000001</v>
      </c>
      <c r="M21" s="98">
        <f t="shared" si="2"/>
        <v>-13416.480000000001</v>
      </c>
      <c r="N21" s="98">
        <f t="shared" si="2"/>
        <v>-14758.128000000002</v>
      </c>
    </row>
    <row r="22" spans="1:14" x14ac:dyDescent="0.25">
      <c r="A22" s="50" t="s">
        <v>11</v>
      </c>
      <c r="B22" s="100" t="s">
        <v>266</v>
      </c>
      <c r="C22" s="50" t="s">
        <v>267</v>
      </c>
      <c r="D22" s="98">
        <v>-76595446</v>
      </c>
      <c r="E22" s="98"/>
      <c r="F22" s="98">
        <v>0</v>
      </c>
      <c r="G22" s="98">
        <v>0</v>
      </c>
      <c r="H22" s="98">
        <v>-76595446.189999998</v>
      </c>
      <c r="I22" s="98"/>
      <c r="J22" s="98">
        <v>0.19</v>
      </c>
      <c r="K22" s="98">
        <v>100</v>
      </c>
      <c r="L22" s="98"/>
      <c r="M22" s="98"/>
      <c r="N22" s="98"/>
    </row>
    <row r="23" spans="1:14" x14ac:dyDescent="0.25">
      <c r="A23" s="50" t="s">
        <v>11</v>
      </c>
      <c r="B23" s="100" t="s">
        <v>268</v>
      </c>
      <c r="C23" s="50" t="s">
        <v>269</v>
      </c>
      <c r="D23" s="98">
        <v>0</v>
      </c>
      <c r="E23" s="98"/>
      <c r="F23" s="98">
        <v>0</v>
      </c>
      <c r="G23" s="98">
        <v>0</v>
      </c>
      <c r="H23" s="98">
        <v>-2239826.25</v>
      </c>
      <c r="I23" s="98"/>
      <c r="J23" s="98">
        <v>2239826.25</v>
      </c>
      <c r="K23" s="98">
        <v>0</v>
      </c>
      <c r="L23" s="98">
        <f>D23*1.1</f>
        <v>0</v>
      </c>
      <c r="M23" s="98">
        <f t="shared" si="2"/>
        <v>0</v>
      </c>
      <c r="N23" s="98">
        <f t="shared" si="2"/>
        <v>0</v>
      </c>
    </row>
    <row r="24" spans="1:14" x14ac:dyDescent="0.25">
      <c r="A24" s="50" t="s">
        <v>11</v>
      </c>
      <c r="B24" s="100" t="s">
        <v>270</v>
      </c>
      <c r="C24" s="50" t="s">
        <v>271</v>
      </c>
      <c r="D24" s="98">
        <v>-12411</v>
      </c>
      <c r="E24" s="98"/>
      <c r="F24" s="98">
        <v>0</v>
      </c>
      <c r="G24" s="98">
        <v>0</v>
      </c>
      <c r="H24" s="98">
        <v>0</v>
      </c>
      <c r="I24" s="98"/>
      <c r="J24" s="98">
        <v>-12411</v>
      </c>
      <c r="K24" s="98">
        <v>0</v>
      </c>
      <c r="L24" s="98">
        <f t="shared" ref="L24:L29" si="3">D24*1.1</f>
        <v>-13652.1</v>
      </c>
      <c r="M24" s="98">
        <f t="shared" si="2"/>
        <v>-15017.310000000001</v>
      </c>
      <c r="N24" s="98">
        <f t="shared" si="2"/>
        <v>-16519.041000000001</v>
      </c>
    </row>
    <row r="25" spans="1:14" x14ac:dyDescent="0.25">
      <c r="A25" s="50" t="s">
        <v>11</v>
      </c>
      <c r="B25" s="100" t="s">
        <v>272</v>
      </c>
      <c r="C25" s="50" t="s">
        <v>273</v>
      </c>
      <c r="D25" s="98">
        <v>-34156</v>
      </c>
      <c r="E25" s="98"/>
      <c r="F25" s="98">
        <v>0</v>
      </c>
      <c r="G25" s="98">
        <v>0</v>
      </c>
      <c r="H25" s="98">
        <v>-4679.18</v>
      </c>
      <c r="I25" s="98"/>
      <c r="J25" s="98">
        <v>-29476.82</v>
      </c>
      <c r="K25" s="98">
        <v>13.69</v>
      </c>
      <c r="L25" s="98">
        <f t="shared" si="3"/>
        <v>-37571.600000000006</v>
      </c>
      <c r="M25" s="98">
        <f t="shared" si="2"/>
        <v>-41328.760000000009</v>
      </c>
      <c r="N25" s="98">
        <f t="shared" si="2"/>
        <v>-45461.636000000013</v>
      </c>
    </row>
    <row r="26" spans="1:14" x14ac:dyDescent="0.25">
      <c r="A26" s="50" t="s">
        <v>11</v>
      </c>
      <c r="B26" s="100" t="s">
        <v>274</v>
      </c>
      <c r="C26" s="50" t="s">
        <v>275</v>
      </c>
      <c r="D26" s="98">
        <v>-256507</v>
      </c>
      <c r="E26" s="98"/>
      <c r="F26" s="98">
        <v>-2241.0700000000002</v>
      </c>
      <c r="G26" s="98">
        <v>0</v>
      </c>
      <c r="H26" s="98">
        <v>-179827.83</v>
      </c>
      <c r="I26" s="98"/>
      <c r="J26" s="98">
        <v>-76679.17</v>
      </c>
      <c r="K26" s="98">
        <v>70.099999999999994</v>
      </c>
      <c r="L26" s="98">
        <f t="shared" si="3"/>
        <v>-282157.7</v>
      </c>
      <c r="M26" s="98">
        <f t="shared" si="2"/>
        <v>-310373.47000000003</v>
      </c>
      <c r="N26" s="98">
        <f t="shared" si="2"/>
        <v>-341410.81700000004</v>
      </c>
    </row>
    <row r="27" spans="1:14" x14ac:dyDescent="0.25">
      <c r="A27" s="50" t="s">
        <v>11</v>
      </c>
      <c r="B27" s="100" t="s">
        <v>276</v>
      </c>
      <c r="C27" s="50" t="s">
        <v>277</v>
      </c>
      <c r="D27" s="98">
        <v>-181687</v>
      </c>
      <c r="E27" s="98"/>
      <c r="F27" s="98">
        <v>-26345.95</v>
      </c>
      <c r="G27" s="98">
        <v>0</v>
      </c>
      <c r="H27" s="98">
        <v>-107995.41</v>
      </c>
      <c r="I27" s="98"/>
      <c r="J27" s="98">
        <v>-73691.59</v>
      </c>
      <c r="K27" s="98">
        <v>59.44</v>
      </c>
      <c r="L27" s="98">
        <f t="shared" si="3"/>
        <v>-199855.7</v>
      </c>
      <c r="M27" s="98">
        <f t="shared" si="2"/>
        <v>-219841.27000000002</v>
      </c>
      <c r="N27" s="98">
        <f t="shared" si="2"/>
        <v>-241825.39700000003</v>
      </c>
    </row>
    <row r="28" spans="1:14" x14ac:dyDescent="0.25">
      <c r="A28" s="50" t="s">
        <v>11</v>
      </c>
      <c r="B28" s="100" t="s">
        <v>278</v>
      </c>
      <c r="C28" s="50" t="s">
        <v>279</v>
      </c>
      <c r="D28" s="98">
        <v>-2286261</v>
      </c>
      <c r="E28" s="98"/>
      <c r="F28" s="98">
        <v>-570431.36</v>
      </c>
      <c r="G28" s="98">
        <v>0</v>
      </c>
      <c r="H28" s="98">
        <v>-1964018.56</v>
      </c>
      <c r="I28" s="98"/>
      <c r="J28" s="98">
        <v>-322242.44</v>
      </c>
      <c r="K28" s="98">
        <v>85.9</v>
      </c>
      <c r="L28" s="98">
        <f t="shared" si="3"/>
        <v>-2514887.1</v>
      </c>
      <c r="M28" s="98">
        <f>L28*1.05</f>
        <v>-2640631.4550000001</v>
      </c>
      <c r="N28" s="98">
        <f>M28*1.05</f>
        <v>-2772663.0277500004</v>
      </c>
    </row>
    <row r="29" spans="1:14" x14ac:dyDescent="0.25">
      <c r="A29" s="50" t="s">
        <v>11</v>
      </c>
      <c r="B29" s="100" t="s">
        <v>350</v>
      </c>
      <c r="C29" s="50" t="s">
        <v>351</v>
      </c>
      <c r="D29" s="98">
        <v>-372313</v>
      </c>
      <c r="E29" s="98"/>
      <c r="F29" s="98">
        <v>0</v>
      </c>
      <c r="G29" s="98">
        <v>0</v>
      </c>
      <c r="H29" s="98">
        <v>0</v>
      </c>
      <c r="I29" s="98"/>
      <c r="J29" s="98">
        <v>-372313</v>
      </c>
      <c r="K29" s="98">
        <v>0</v>
      </c>
      <c r="L29" s="98">
        <f t="shared" si="3"/>
        <v>-409544.30000000005</v>
      </c>
      <c r="M29" s="98">
        <f t="shared" si="2"/>
        <v>-450498.7300000001</v>
      </c>
      <c r="N29" s="98">
        <f t="shared" si="2"/>
        <v>-495548.60300000012</v>
      </c>
    </row>
    <row r="30" spans="1:14" s="4" customFormat="1" ht="15.75" thickBot="1" x14ac:dyDescent="0.3">
      <c r="B30" s="5"/>
      <c r="C30" s="4" t="s">
        <v>690</v>
      </c>
      <c r="D30" s="149">
        <f t="shared" ref="D30:N30" si="4">SUM(D17:D29)</f>
        <v>-92538017</v>
      </c>
      <c r="E30" s="149">
        <f t="shared" si="4"/>
        <v>0</v>
      </c>
      <c r="F30" s="149">
        <f t="shared" si="4"/>
        <v>-1698159.48</v>
      </c>
      <c r="G30" s="149">
        <f t="shared" si="4"/>
        <v>0</v>
      </c>
      <c r="H30" s="149">
        <f t="shared" si="4"/>
        <v>-89437965.230000004</v>
      </c>
      <c r="I30" s="149">
        <f t="shared" si="4"/>
        <v>0</v>
      </c>
      <c r="J30" s="149">
        <f t="shared" si="4"/>
        <v>-3100051.7699999986</v>
      </c>
      <c r="K30" s="149">
        <f t="shared" si="4"/>
        <v>438.54999999999995</v>
      </c>
      <c r="L30" s="149">
        <f t="shared" si="4"/>
        <v>-17536828.100000001</v>
      </c>
      <c r="M30" s="149">
        <f t="shared" si="4"/>
        <v>-19164766.555000003</v>
      </c>
      <c r="N30" s="149">
        <f t="shared" si="4"/>
        <v>-20949211.637750007</v>
      </c>
    </row>
    <row r="31" spans="1:14" x14ac:dyDescent="0.25">
      <c r="B31" s="1"/>
    </row>
    <row r="32" spans="1:14" x14ac:dyDescent="0.25">
      <c r="A32" s="50" t="s">
        <v>11</v>
      </c>
      <c r="B32" s="100" t="s">
        <v>258</v>
      </c>
      <c r="C32" s="50" t="s">
        <v>259</v>
      </c>
      <c r="D32" s="98">
        <v>-1834396</v>
      </c>
      <c r="E32" s="98"/>
      <c r="F32" s="98">
        <v>-67737.929999999993</v>
      </c>
      <c r="G32" s="98">
        <v>0</v>
      </c>
      <c r="H32" s="98">
        <v>-946563.36</v>
      </c>
      <c r="I32" s="98"/>
      <c r="J32" s="98">
        <v>-887832.64</v>
      </c>
      <c r="K32" s="98">
        <v>51.6</v>
      </c>
      <c r="L32" s="98">
        <f>D32*1.041</f>
        <v>-1909606.2359999998</v>
      </c>
      <c r="M32" s="98">
        <f>L32*1.042</f>
        <v>-1989809.6979119999</v>
      </c>
      <c r="N32" s="98">
        <f>M32*1.045</f>
        <v>-2079351.1343180398</v>
      </c>
    </row>
    <row r="33" spans="1:14" x14ac:dyDescent="0.25">
      <c r="A33" s="50" t="s">
        <v>11</v>
      </c>
      <c r="B33" s="100" t="s">
        <v>260</v>
      </c>
      <c r="C33" s="50" t="s">
        <v>261</v>
      </c>
      <c r="D33" s="98">
        <v>-12325820</v>
      </c>
      <c r="E33" s="98"/>
      <c r="F33" s="98">
        <v>0</v>
      </c>
      <c r="G33" s="98">
        <v>0</v>
      </c>
      <c r="H33" s="98">
        <v>-7537406.6399999997</v>
      </c>
      <c r="I33" s="98"/>
      <c r="J33" s="98">
        <v>-4788413.3600000003</v>
      </c>
      <c r="K33" s="98">
        <v>61.15</v>
      </c>
      <c r="L33" s="98">
        <v>-15576237.6</v>
      </c>
      <c r="M33" s="98">
        <f>L33*1.043</f>
        <v>-16246015.816799998</v>
      </c>
      <c r="N33" s="98">
        <f>M33*1.045</f>
        <v>-16977086.528555997</v>
      </c>
    </row>
    <row r="34" spans="1:14" s="4" customFormat="1" ht="15.75" thickBot="1" x14ac:dyDescent="0.3">
      <c r="B34" s="5"/>
      <c r="C34" s="4" t="s">
        <v>689</v>
      </c>
      <c r="D34" s="149">
        <f t="shared" ref="D34:N34" si="5">SUM(D32:D33)</f>
        <v>-14160216</v>
      </c>
      <c r="E34" s="149">
        <f t="shared" si="5"/>
        <v>0</v>
      </c>
      <c r="F34" s="149">
        <f t="shared" si="5"/>
        <v>-67737.929999999993</v>
      </c>
      <c r="G34" s="149">
        <f t="shared" si="5"/>
        <v>0</v>
      </c>
      <c r="H34" s="149">
        <f t="shared" si="5"/>
        <v>-8483970</v>
      </c>
      <c r="I34" s="149">
        <f t="shared" si="5"/>
        <v>0</v>
      </c>
      <c r="J34" s="149">
        <f t="shared" si="5"/>
        <v>-5676246</v>
      </c>
      <c r="K34" s="149">
        <f t="shared" si="5"/>
        <v>112.75</v>
      </c>
      <c r="L34" s="149">
        <f t="shared" si="5"/>
        <v>-17485843.835999999</v>
      </c>
      <c r="M34" s="149">
        <f t="shared" si="5"/>
        <v>-18235825.514711998</v>
      </c>
      <c r="N34" s="149">
        <f t="shared" si="5"/>
        <v>-19056437.662874036</v>
      </c>
    </row>
    <row r="35" spans="1:14" ht="17.25" customHeight="1" x14ac:dyDescent="0.25">
      <c r="B35" s="1"/>
    </row>
    <row r="36" spans="1:14" x14ac:dyDescent="0.25">
      <c r="A36" s="50" t="s">
        <v>11</v>
      </c>
      <c r="B36" s="100" t="s">
        <v>218</v>
      </c>
      <c r="C36" s="50" t="s">
        <v>219</v>
      </c>
      <c r="D36" s="98">
        <v>-6294000</v>
      </c>
      <c r="E36" s="98"/>
      <c r="F36" s="98">
        <v>-617816</v>
      </c>
      <c r="G36" s="98">
        <v>0</v>
      </c>
      <c r="H36" s="98">
        <v>-3394398</v>
      </c>
      <c r="I36" s="98"/>
      <c r="J36" s="98">
        <v>-2899602</v>
      </c>
      <c r="K36" s="98">
        <v>53.93</v>
      </c>
      <c r="L36" s="98">
        <v>-8180000</v>
      </c>
      <c r="M36" s="98"/>
      <c r="N36" s="98"/>
    </row>
    <row r="37" spans="1:14" x14ac:dyDescent="0.25">
      <c r="A37" s="50" t="s">
        <v>11</v>
      </c>
      <c r="B37" s="100" t="s">
        <v>220</v>
      </c>
      <c r="C37" s="50" t="s">
        <v>221</v>
      </c>
      <c r="D37" s="98">
        <v>-2200000</v>
      </c>
      <c r="E37" s="98"/>
      <c r="F37" s="98">
        <v>-40013.11</v>
      </c>
      <c r="G37" s="98">
        <v>0</v>
      </c>
      <c r="H37" s="98">
        <v>-383707.8</v>
      </c>
      <c r="I37" s="98"/>
      <c r="J37" s="98">
        <v>-1816292.2</v>
      </c>
      <c r="K37" s="98">
        <v>17.440000000000001</v>
      </c>
      <c r="L37" s="98">
        <v>-2300000</v>
      </c>
      <c r="M37" s="98">
        <v>-2400000</v>
      </c>
      <c r="N37" s="98">
        <v>-2400000</v>
      </c>
    </row>
    <row r="38" spans="1:14" x14ac:dyDescent="0.25">
      <c r="A38" s="50" t="s">
        <v>11</v>
      </c>
      <c r="B38" s="100" t="s">
        <v>222</v>
      </c>
      <c r="C38" s="50" t="s">
        <v>223</v>
      </c>
      <c r="D38" s="98">
        <v>-93177889</v>
      </c>
      <c r="E38" s="98"/>
      <c r="F38" s="98">
        <v>-3615568.6</v>
      </c>
      <c r="G38" s="98">
        <v>0</v>
      </c>
      <c r="H38" s="98">
        <v>-75847835.730000004</v>
      </c>
      <c r="I38" s="98"/>
      <c r="J38" s="98">
        <v>-17330053.27</v>
      </c>
      <c r="K38" s="98">
        <v>81.400000000000006</v>
      </c>
      <c r="L38" s="98">
        <f>-42492000+-48000000</f>
        <v>-90492000</v>
      </c>
      <c r="M38" s="98">
        <v>-71999000</v>
      </c>
      <c r="N38" s="98">
        <v>-74334990</v>
      </c>
    </row>
    <row r="39" spans="1:14" x14ac:dyDescent="0.25">
      <c r="A39" s="50" t="s">
        <v>11</v>
      </c>
      <c r="B39" s="100" t="s">
        <v>224</v>
      </c>
      <c r="C39" s="50" t="s">
        <v>225</v>
      </c>
      <c r="D39" s="98">
        <v>-873991652</v>
      </c>
      <c r="E39" s="98"/>
      <c r="F39" s="98">
        <v>0</v>
      </c>
      <c r="G39" s="98">
        <v>0</v>
      </c>
      <c r="H39" s="98">
        <v>-664439000</v>
      </c>
      <c r="I39" s="98"/>
      <c r="J39" s="98">
        <v>-209552652</v>
      </c>
      <c r="K39" s="98">
        <v>76.02</v>
      </c>
      <c r="L39" s="98">
        <v>-878832000</v>
      </c>
      <c r="M39" s="98">
        <v>-942269000</v>
      </c>
      <c r="N39" s="98">
        <v>-959698000</v>
      </c>
    </row>
    <row r="40" spans="1:14" x14ac:dyDescent="0.25">
      <c r="A40" s="50" t="s">
        <v>11</v>
      </c>
      <c r="B40" s="100" t="s">
        <v>226</v>
      </c>
      <c r="C40" s="50" t="s">
        <v>227</v>
      </c>
      <c r="D40" s="98">
        <v>-2309000</v>
      </c>
      <c r="E40" s="98"/>
      <c r="F40" s="98">
        <v>0</v>
      </c>
      <c r="G40" s="98">
        <v>0</v>
      </c>
      <c r="H40" s="98">
        <v>0</v>
      </c>
      <c r="I40" s="98"/>
      <c r="J40" s="98">
        <v>-2309000</v>
      </c>
      <c r="K40" s="98">
        <v>0</v>
      </c>
      <c r="L40" s="98"/>
      <c r="M40" s="98"/>
      <c r="N40" s="98"/>
    </row>
    <row r="41" spans="1:14" x14ac:dyDescent="0.25">
      <c r="A41" s="50" t="s">
        <v>11</v>
      </c>
      <c r="B41" s="100" t="s">
        <v>228</v>
      </c>
      <c r="C41" s="50" t="s">
        <v>229</v>
      </c>
      <c r="D41" s="98">
        <v>0</v>
      </c>
      <c r="E41" s="98"/>
      <c r="F41" s="98">
        <v>-181100.43</v>
      </c>
      <c r="G41" s="98">
        <v>0</v>
      </c>
      <c r="H41" s="98">
        <v>-405834.88</v>
      </c>
      <c r="I41" s="98"/>
      <c r="J41" s="98">
        <v>405834.88</v>
      </c>
      <c r="K41" s="98">
        <v>0</v>
      </c>
      <c r="L41" s="98"/>
      <c r="M41" s="98"/>
      <c r="N41" s="98"/>
    </row>
    <row r="42" spans="1:14" x14ac:dyDescent="0.25">
      <c r="A42" s="50" t="s">
        <v>11</v>
      </c>
      <c r="B42" s="100" t="s">
        <v>238</v>
      </c>
      <c r="C42" s="50" t="s">
        <v>239</v>
      </c>
      <c r="D42" s="98">
        <v>0</v>
      </c>
      <c r="E42" s="98"/>
      <c r="F42" s="98">
        <v>-500</v>
      </c>
      <c r="G42" s="98">
        <v>0</v>
      </c>
      <c r="H42" s="98">
        <v>-6500</v>
      </c>
      <c r="I42" s="98"/>
      <c r="J42" s="98">
        <v>6500</v>
      </c>
      <c r="K42" s="98">
        <v>0</v>
      </c>
      <c r="L42" s="98"/>
      <c r="M42" s="98"/>
      <c r="N42" s="98"/>
    </row>
    <row r="43" spans="1:14" s="4" customFormat="1" ht="15.75" thickBot="1" x14ac:dyDescent="0.3">
      <c r="B43" s="5"/>
      <c r="C43" s="4" t="s">
        <v>688</v>
      </c>
      <c r="D43" s="149">
        <f t="shared" ref="D43:K43" si="6">SUM(D36:D42)</f>
        <v>-977972541</v>
      </c>
      <c r="E43" s="149">
        <f t="shared" si="6"/>
        <v>0</v>
      </c>
      <c r="F43" s="149">
        <f t="shared" si="6"/>
        <v>-4454998.1399999997</v>
      </c>
      <c r="G43" s="149">
        <f t="shared" si="6"/>
        <v>0</v>
      </c>
      <c r="H43" s="149">
        <f t="shared" si="6"/>
        <v>-744477276.40999997</v>
      </c>
      <c r="I43" s="149">
        <f t="shared" si="6"/>
        <v>0</v>
      </c>
      <c r="J43" s="149">
        <f t="shared" si="6"/>
        <v>-233495264.59</v>
      </c>
      <c r="K43" s="149">
        <f t="shared" si="6"/>
        <v>228.79000000000002</v>
      </c>
      <c r="L43" s="149">
        <f>SUM(L36:L42)</f>
        <v>-979804000</v>
      </c>
      <c r="M43" s="149">
        <f>SUM(M36:M42)</f>
        <v>-1016668000</v>
      </c>
      <c r="N43" s="149">
        <f>SUM(N36:N42)</f>
        <v>-1036432990</v>
      </c>
    </row>
    <row r="44" spans="1:14" x14ac:dyDescent="0.25">
      <c r="B44" s="1"/>
    </row>
    <row r="45" spans="1:14" x14ac:dyDescent="0.25">
      <c r="A45" s="50" t="s">
        <v>11</v>
      </c>
      <c r="B45" s="100" t="s">
        <v>230</v>
      </c>
      <c r="C45" s="50" t="s">
        <v>231</v>
      </c>
      <c r="D45" s="98">
        <v>-378627111</v>
      </c>
      <c r="E45" s="98"/>
      <c r="F45" s="98">
        <v>-10132285.74</v>
      </c>
      <c r="G45" s="98">
        <v>0</v>
      </c>
      <c r="H45" s="98">
        <v>-239733212.13</v>
      </c>
      <c r="I45" s="98"/>
      <c r="J45" s="98">
        <v>-138893898.87</v>
      </c>
      <c r="K45" s="98">
        <v>63.31</v>
      </c>
      <c r="L45" s="98">
        <f>-504052000-L38</f>
        <v>-413560000</v>
      </c>
      <c r="M45" s="98">
        <f>-547577000-M38</f>
        <v>-475578000</v>
      </c>
      <c r="N45" s="98">
        <f>-573557000-N38</f>
        <v>-499222010</v>
      </c>
    </row>
    <row r="46" spans="1:14" x14ac:dyDescent="0.25">
      <c r="A46" s="50" t="s">
        <v>11</v>
      </c>
      <c r="B46" s="100" t="s">
        <v>233</v>
      </c>
      <c r="C46" s="50" t="s">
        <v>232</v>
      </c>
      <c r="D46" s="98">
        <v>-40221000</v>
      </c>
      <c r="E46" s="98"/>
      <c r="F46" s="98">
        <v>0</v>
      </c>
      <c r="G46" s="98">
        <v>0</v>
      </c>
      <c r="H46" s="98">
        <v>0</v>
      </c>
      <c r="I46" s="98"/>
      <c r="J46" s="98">
        <v>-40221000</v>
      </c>
      <c r="K46" s="98">
        <v>0</v>
      </c>
      <c r="L46" s="98"/>
      <c r="M46" s="98"/>
      <c r="N46" s="98"/>
    </row>
    <row r="47" spans="1:14" x14ac:dyDescent="0.25">
      <c r="A47" s="50" t="s">
        <v>11</v>
      </c>
      <c r="B47" s="100" t="s">
        <v>234</v>
      </c>
      <c r="C47" s="50" t="s">
        <v>235</v>
      </c>
      <c r="D47" s="98">
        <v>-2310000</v>
      </c>
      <c r="E47" s="98"/>
      <c r="F47" s="98">
        <v>-223713.93</v>
      </c>
      <c r="G47" s="98">
        <v>0</v>
      </c>
      <c r="H47" s="98">
        <v>-646856.43000000005</v>
      </c>
      <c r="I47" s="98"/>
      <c r="J47" s="98">
        <v>-1663143.57</v>
      </c>
      <c r="K47" s="98">
        <v>28</v>
      </c>
      <c r="L47" s="98">
        <v>-2341000</v>
      </c>
      <c r="M47" s="98">
        <v>-2453000</v>
      </c>
      <c r="N47" s="98">
        <v>-2460000</v>
      </c>
    </row>
    <row r="48" spans="1:14" x14ac:dyDescent="0.25">
      <c r="A48" s="50" t="s">
        <v>11</v>
      </c>
      <c r="B48" s="100" t="s">
        <v>236</v>
      </c>
      <c r="C48" s="50" t="s">
        <v>237</v>
      </c>
      <c r="D48" s="98">
        <v>-53471000</v>
      </c>
      <c r="E48" s="98"/>
      <c r="F48" s="98">
        <v>0</v>
      </c>
      <c r="G48" s="98">
        <v>0</v>
      </c>
      <c r="H48" s="98">
        <v>-18418927.059999999</v>
      </c>
      <c r="I48" s="98"/>
      <c r="J48" s="98">
        <v>-35052072.939999998</v>
      </c>
      <c r="K48" s="98">
        <v>34.44</v>
      </c>
      <c r="L48" s="98">
        <v>-50000000</v>
      </c>
      <c r="M48" s="98">
        <v>-61652000</v>
      </c>
      <c r="N48" s="98">
        <v>-64425000</v>
      </c>
    </row>
    <row r="49" spans="3:14" s="4" customFormat="1" ht="15.75" thickBot="1" x14ac:dyDescent="0.3">
      <c r="C49" s="4" t="s">
        <v>687</v>
      </c>
      <c r="D49" s="149">
        <f t="shared" ref="D49:L49" si="7">SUM(D45:D48)</f>
        <v>-474629111</v>
      </c>
      <c r="E49" s="149">
        <f t="shared" si="7"/>
        <v>0</v>
      </c>
      <c r="F49" s="149">
        <f t="shared" si="7"/>
        <v>-10355999.67</v>
      </c>
      <c r="G49" s="149">
        <f t="shared" si="7"/>
        <v>0</v>
      </c>
      <c r="H49" s="149">
        <f t="shared" si="7"/>
        <v>-258798995.62</v>
      </c>
      <c r="I49" s="149">
        <f t="shared" si="7"/>
        <v>0</v>
      </c>
      <c r="J49" s="149">
        <f t="shared" si="7"/>
        <v>-215830115.38</v>
      </c>
      <c r="K49" s="149">
        <f t="shared" si="7"/>
        <v>125.75</v>
      </c>
      <c r="L49" s="149">
        <f t="shared" si="7"/>
        <v>-465901000</v>
      </c>
      <c r="M49" s="149">
        <f>SUM(M45:M48)</f>
        <v>-539683000</v>
      </c>
      <c r="N49" s="149">
        <f>SUM(N45:N48)</f>
        <v>-566107010</v>
      </c>
    </row>
  </sheetData>
  <mergeCells count="3">
    <mergeCell ref="B1:C1"/>
    <mergeCell ref="B2:C2"/>
    <mergeCell ref="B3:C3"/>
  </mergeCells>
  <pageMargins left="0.7" right="0.7" top="0.75" bottom="0.75" header="0.3" footer="0.3"/>
  <pageSetup paperSize="9" scale="6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409"/>
  <sheetViews>
    <sheetView workbookViewId="0">
      <pane ySplit="1" topLeftCell="A2" activePane="bottomLeft" state="frozen"/>
      <selection pane="bottomLeft" activeCell="L201" sqref="L201:L205"/>
    </sheetView>
  </sheetViews>
  <sheetFormatPr defaultRowHeight="15" x14ac:dyDescent="0.25"/>
  <cols>
    <col min="1" max="1" width="6.42578125" style="109" bestFit="1" customWidth="1"/>
    <col min="2" max="2" width="26" style="109" bestFit="1" customWidth="1"/>
    <col min="3" max="3" width="65.28515625" style="109" customWidth="1"/>
    <col min="4" max="4" width="16.42578125" style="110" bestFit="1" customWidth="1"/>
    <col min="5" max="5" width="9.28515625" style="110" hidden="1" customWidth="1"/>
    <col min="6" max="7" width="14" style="110" hidden="1" customWidth="1"/>
    <col min="8" max="8" width="15" style="110" hidden="1" customWidth="1"/>
    <col min="9" max="9" width="9.28515625" style="110" hidden="1" customWidth="1"/>
    <col min="10" max="10" width="15" style="110" hidden="1" customWidth="1"/>
    <col min="11" max="11" width="9.28515625" style="110" hidden="1" customWidth="1"/>
    <col min="12" max="12" width="19.7109375" style="109" bestFit="1" customWidth="1"/>
    <col min="13" max="14" width="16.42578125" style="110" bestFit="1" customWidth="1"/>
    <col min="15" max="15" width="59.85546875" bestFit="1" customWidth="1"/>
    <col min="16" max="18" width="12.42578125" bestFit="1" customWidth="1"/>
  </cols>
  <sheetData>
    <row r="1" spans="1:14" s="4" customFormat="1" x14ac:dyDescent="0.25">
      <c r="A1" s="112" t="s">
        <v>0</v>
      </c>
      <c r="B1" s="113" t="s">
        <v>1</v>
      </c>
      <c r="C1" s="112" t="s">
        <v>2</v>
      </c>
      <c r="D1" s="114" t="s">
        <v>3</v>
      </c>
      <c r="E1" s="114" t="s">
        <v>4</v>
      </c>
      <c r="F1" s="114" t="s">
        <v>5</v>
      </c>
      <c r="G1" s="114" t="s">
        <v>6</v>
      </c>
      <c r="H1" s="114" t="s">
        <v>7</v>
      </c>
      <c r="I1" s="114" t="s">
        <v>8</v>
      </c>
      <c r="J1" s="114" t="s">
        <v>9</v>
      </c>
      <c r="K1" s="114" t="s">
        <v>10</v>
      </c>
      <c r="L1" s="112" t="s">
        <v>692</v>
      </c>
      <c r="M1" s="114" t="s">
        <v>693</v>
      </c>
      <c r="N1" s="114" t="s">
        <v>694</v>
      </c>
    </row>
    <row r="2" spans="1:14" x14ac:dyDescent="0.25">
      <c r="A2" s="109" t="s">
        <v>11</v>
      </c>
      <c r="B2" s="108" t="s">
        <v>12</v>
      </c>
      <c r="C2" s="109" t="s">
        <v>13</v>
      </c>
      <c r="D2" s="110">
        <v>10307807</v>
      </c>
      <c r="F2" s="110">
        <v>883238.74</v>
      </c>
      <c r="G2" s="110">
        <v>0</v>
      </c>
      <c r="H2" s="110">
        <v>7602102.4400000004</v>
      </c>
      <c r="J2" s="110">
        <v>2705704.56</v>
      </c>
      <c r="K2" s="110">
        <v>73.75</v>
      </c>
      <c r="L2" s="111">
        <f>D2*1.06</f>
        <v>10926275.42</v>
      </c>
      <c r="M2" s="110">
        <f>L2*1.06</f>
        <v>11581851.9452</v>
      </c>
      <c r="N2" s="110">
        <f>M2*1.06</f>
        <v>12276763.061912</v>
      </c>
    </row>
    <row r="3" spans="1:14" x14ac:dyDescent="0.25">
      <c r="A3" s="109" t="s">
        <v>11</v>
      </c>
      <c r="B3" s="108" t="s">
        <v>14</v>
      </c>
      <c r="C3" s="109" t="s">
        <v>15</v>
      </c>
      <c r="D3" s="110">
        <v>202850</v>
      </c>
      <c r="F3" s="110">
        <v>16386</v>
      </c>
      <c r="G3" s="110">
        <v>0</v>
      </c>
      <c r="H3" s="110">
        <v>121695</v>
      </c>
      <c r="J3" s="110">
        <v>81155</v>
      </c>
      <c r="K3" s="110">
        <v>59.99</v>
      </c>
      <c r="L3" s="111">
        <f t="shared" ref="L3:L39" si="0">D3*1.06</f>
        <v>215021</v>
      </c>
      <c r="M3" s="110">
        <f t="shared" ref="M3:N39" si="1">L3*1.06</f>
        <v>227922.26</v>
      </c>
      <c r="N3" s="110">
        <f t="shared" si="1"/>
        <v>241597.59560000003</v>
      </c>
    </row>
    <row r="4" spans="1:14" x14ac:dyDescent="0.25">
      <c r="A4" s="109" t="s">
        <v>11</v>
      </c>
      <c r="B4" s="108" t="s">
        <v>16</v>
      </c>
      <c r="C4" s="109" t="s">
        <v>17</v>
      </c>
      <c r="D4" s="110">
        <v>13811</v>
      </c>
      <c r="F4" s="110">
        <v>3258.68</v>
      </c>
      <c r="G4" s="110">
        <v>0</v>
      </c>
      <c r="H4" s="110">
        <v>26069.439999999999</v>
      </c>
      <c r="J4" s="110">
        <v>-12258.44</v>
      </c>
      <c r="K4" s="110">
        <v>188.75</v>
      </c>
      <c r="L4" s="111">
        <f t="shared" si="0"/>
        <v>14639.66</v>
      </c>
      <c r="M4" s="110">
        <f t="shared" si="1"/>
        <v>15518.0396</v>
      </c>
      <c r="N4" s="110">
        <f t="shared" si="1"/>
        <v>16449.121976000002</v>
      </c>
    </row>
    <row r="5" spans="1:14" x14ac:dyDescent="0.25">
      <c r="A5" s="109" t="s">
        <v>11</v>
      </c>
      <c r="B5" s="108" t="s">
        <v>18</v>
      </c>
      <c r="C5" s="109" t="s">
        <v>19</v>
      </c>
      <c r="D5" s="110">
        <v>155872</v>
      </c>
      <c r="F5" s="110">
        <v>0</v>
      </c>
      <c r="G5" s="110">
        <v>0</v>
      </c>
      <c r="H5" s="110">
        <v>0</v>
      </c>
      <c r="J5" s="110">
        <v>155872</v>
      </c>
      <c r="K5" s="110">
        <v>0</v>
      </c>
      <c r="L5" s="111">
        <f t="shared" si="0"/>
        <v>165224.32000000001</v>
      </c>
      <c r="M5" s="110">
        <f t="shared" si="1"/>
        <v>175137.77920000002</v>
      </c>
      <c r="N5" s="110">
        <f t="shared" si="1"/>
        <v>185646.04595200004</v>
      </c>
    </row>
    <row r="6" spans="1:14" x14ac:dyDescent="0.25">
      <c r="A6" s="109" t="s">
        <v>11</v>
      </c>
      <c r="B6" s="108" t="s">
        <v>20</v>
      </c>
      <c r="C6" s="109" t="s">
        <v>21</v>
      </c>
      <c r="D6" s="110">
        <v>2153422</v>
      </c>
      <c r="F6" s="110">
        <v>151497.76999999999</v>
      </c>
      <c r="G6" s="110">
        <v>0</v>
      </c>
      <c r="H6" s="110">
        <v>1280586.3600000001</v>
      </c>
      <c r="J6" s="110">
        <v>872835.64</v>
      </c>
      <c r="K6" s="110">
        <v>59.46</v>
      </c>
      <c r="L6" s="111">
        <f t="shared" si="0"/>
        <v>2282627.3200000003</v>
      </c>
      <c r="M6" s="110">
        <f t="shared" si="1"/>
        <v>2419584.9592000004</v>
      </c>
      <c r="N6" s="110">
        <f t="shared" si="1"/>
        <v>2564760.0567520005</v>
      </c>
    </row>
    <row r="7" spans="1:14" x14ac:dyDescent="0.25">
      <c r="A7" s="109" t="s">
        <v>11</v>
      </c>
      <c r="B7" s="108" t="s">
        <v>22</v>
      </c>
      <c r="C7" s="109" t="s">
        <v>23</v>
      </c>
      <c r="D7" s="110">
        <v>40928</v>
      </c>
      <c r="F7" s="110">
        <v>5834.48</v>
      </c>
      <c r="G7" s="110">
        <v>0</v>
      </c>
      <c r="H7" s="110">
        <v>5834.48</v>
      </c>
      <c r="J7" s="110">
        <v>35093.519999999997</v>
      </c>
      <c r="K7" s="110">
        <v>14.25</v>
      </c>
      <c r="L7" s="111">
        <f t="shared" si="0"/>
        <v>43383.68</v>
      </c>
      <c r="M7" s="110">
        <f t="shared" si="1"/>
        <v>45986.700800000006</v>
      </c>
      <c r="N7" s="110">
        <f t="shared" si="1"/>
        <v>48745.902848000005</v>
      </c>
    </row>
    <row r="8" spans="1:14" x14ac:dyDescent="0.25">
      <c r="A8" s="109" t="s">
        <v>11</v>
      </c>
      <c r="B8" s="108" t="s">
        <v>24</v>
      </c>
      <c r="C8" s="109" t="s">
        <v>25</v>
      </c>
      <c r="D8" s="110">
        <v>58832</v>
      </c>
      <c r="F8" s="110">
        <v>0</v>
      </c>
      <c r="G8" s="110">
        <v>0</v>
      </c>
      <c r="H8" s="110">
        <v>0</v>
      </c>
      <c r="J8" s="110">
        <v>58832</v>
      </c>
      <c r="K8" s="110">
        <v>0</v>
      </c>
      <c r="L8" s="111">
        <f t="shared" si="0"/>
        <v>62361.920000000006</v>
      </c>
      <c r="M8" s="110">
        <f t="shared" si="1"/>
        <v>66103.635200000004</v>
      </c>
      <c r="N8" s="110">
        <f t="shared" si="1"/>
        <v>70069.853312000007</v>
      </c>
    </row>
    <row r="9" spans="1:14" x14ac:dyDescent="0.25">
      <c r="A9" s="109" t="s">
        <v>11</v>
      </c>
      <c r="B9" s="108" t="s">
        <v>26</v>
      </c>
      <c r="C9" s="109" t="s">
        <v>27</v>
      </c>
      <c r="D9" s="110">
        <v>0</v>
      </c>
      <c r="F9" s="110">
        <v>1738.84</v>
      </c>
      <c r="G9" s="110">
        <v>0</v>
      </c>
      <c r="H9" s="110">
        <v>1738.84</v>
      </c>
      <c r="J9" s="110">
        <v>-1738.84</v>
      </c>
      <c r="K9" s="110">
        <v>0</v>
      </c>
      <c r="L9" s="111">
        <f t="shared" si="0"/>
        <v>0</v>
      </c>
      <c r="M9" s="110">
        <f t="shared" si="1"/>
        <v>0</v>
      </c>
      <c r="N9" s="110">
        <f t="shared" si="1"/>
        <v>0</v>
      </c>
    </row>
    <row r="10" spans="1:14" x14ac:dyDescent="0.25">
      <c r="A10" s="109" t="s">
        <v>11</v>
      </c>
      <c r="B10" s="108" t="s">
        <v>28</v>
      </c>
      <c r="C10" s="109" t="s">
        <v>29</v>
      </c>
      <c r="D10" s="110">
        <v>22738</v>
      </c>
      <c r="F10" s="110">
        <v>0</v>
      </c>
      <c r="G10" s="110">
        <v>0</v>
      </c>
      <c r="H10" s="110">
        <v>0</v>
      </c>
      <c r="J10" s="110">
        <v>22738</v>
      </c>
      <c r="K10" s="110">
        <v>0</v>
      </c>
      <c r="L10" s="111">
        <f t="shared" si="0"/>
        <v>24102.280000000002</v>
      </c>
      <c r="M10" s="110">
        <f t="shared" si="1"/>
        <v>25548.416800000003</v>
      </c>
      <c r="N10" s="110">
        <f t="shared" si="1"/>
        <v>27081.321808000004</v>
      </c>
    </row>
    <row r="11" spans="1:14" x14ac:dyDescent="0.25">
      <c r="A11" s="109" t="s">
        <v>11</v>
      </c>
      <c r="B11" s="108" t="s">
        <v>30</v>
      </c>
      <c r="C11" s="109" t="s">
        <v>31</v>
      </c>
      <c r="D11" s="110">
        <v>1948</v>
      </c>
      <c r="F11" s="110">
        <v>221.16</v>
      </c>
      <c r="G11" s="110">
        <v>0</v>
      </c>
      <c r="H11" s="110">
        <v>1578.8</v>
      </c>
      <c r="J11" s="110">
        <v>369.2</v>
      </c>
      <c r="K11" s="110">
        <v>81.040000000000006</v>
      </c>
      <c r="L11" s="111">
        <f t="shared" si="0"/>
        <v>2064.88</v>
      </c>
      <c r="M11" s="110">
        <f t="shared" si="1"/>
        <v>2188.7728000000002</v>
      </c>
      <c r="N11" s="110">
        <f t="shared" si="1"/>
        <v>2320.0991680000002</v>
      </c>
    </row>
    <row r="12" spans="1:14" x14ac:dyDescent="0.25">
      <c r="A12" s="109" t="s">
        <v>11</v>
      </c>
      <c r="B12" s="108" t="s">
        <v>32</v>
      </c>
      <c r="C12" s="109" t="s">
        <v>31</v>
      </c>
      <c r="D12" s="110">
        <v>118892</v>
      </c>
      <c r="F12" s="110">
        <v>0</v>
      </c>
      <c r="G12" s="110">
        <v>0</v>
      </c>
      <c r="H12" s="110">
        <v>0</v>
      </c>
      <c r="J12" s="110">
        <v>118892</v>
      </c>
      <c r="K12" s="110">
        <v>0</v>
      </c>
      <c r="L12" s="111">
        <f t="shared" si="0"/>
        <v>126025.52</v>
      </c>
      <c r="M12" s="110">
        <f t="shared" si="1"/>
        <v>133587.05120000002</v>
      </c>
      <c r="N12" s="110">
        <f t="shared" si="1"/>
        <v>141602.27427200004</v>
      </c>
    </row>
    <row r="13" spans="1:14" x14ac:dyDescent="0.25">
      <c r="A13" s="109" t="s">
        <v>11</v>
      </c>
      <c r="B13" s="108" t="s">
        <v>33</v>
      </c>
      <c r="C13" s="109" t="s">
        <v>34</v>
      </c>
      <c r="D13" s="110">
        <v>96437</v>
      </c>
      <c r="F13" s="110">
        <v>8090.14</v>
      </c>
      <c r="G13" s="110">
        <v>0</v>
      </c>
      <c r="H13" s="110">
        <v>64236.35</v>
      </c>
      <c r="J13" s="110">
        <v>32200.65</v>
      </c>
      <c r="K13" s="110">
        <v>66.599999999999994</v>
      </c>
      <c r="L13" s="111">
        <f t="shared" si="0"/>
        <v>102223.22</v>
      </c>
      <c r="M13" s="110">
        <f t="shared" si="1"/>
        <v>108356.61320000001</v>
      </c>
      <c r="N13" s="110">
        <f t="shared" si="1"/>
        <v>114858.00999200001</v>
      </c>
    </row>
    <row r="14" spans="1:14" x14ac:dyDescent="0.25">
      <c r="A14" s="109" t="s">
        <v>11</v>
      </c>
      <c r="B14" s="108" t="s">
        <v>35</v>
      </c>
      <c r="C14" s="109" t="s">
        <v>36</v>
      </c>
      <c r="D14" s="110">
        <v>511913</v>
      </c>
      <c r="F14" s="110">
        <v>47837.16</v>
      </c>
      <c r="G14" s="110">
        <v>0</v>
      </c>
      <c r="H14" s="110">
        <v>350203.56</v>
      </c>
      <c r="J14" s="110">
        <v>161709.44</v>
      </c>
      <c r="K14" s="110">
        <v>68.41</v>
      </c>
      <c r="L14" s="111">
        <f t="shared" si="0"/>
        <v>542627.78</v>
      </c>
      <c r="M14" s="110">
        <f t="shared" si="1"/>
        <v>575185.44680000003</v>
      </c>
      <c r="N14" s="110">
        <f t="shared" si="1"/>
        <v>609696.57360800006</v>
      </c>
    </row>
    <row r="15" spans="1:14" x14ac:dyDescent="0.25">
      <c r="A15" s="109" t="s">
        <v>11</v>
      </c>
      <c r="B15" s="108" t="s">
        <v>37</v>
      </c>
      <c r="C15" s="109" t="s">
        <v>38</v>
      </c>
      <c r="D15" s="110">
        <v>1552473</v>
      </c>
      <c r="F15" s="110">
        <v>135988.26999999999</v>
      </c>
      <c r="G15" s="110">
        <v>0</v>
      </c>
      <c r="H15" s="110">
        <v>1146321.3700000001</v>
      </c>
      <c r="J15" s="110">
        <v>406151.63</v>
      </c>
      <c r="K15" s="110">
        <v>73.83</v>
      </c>
      <c r="L15" s="111">
        <f t="shared" si="0"/>
        <v>1645621.3800000001</v>
      </c>
      <c r="M15" s="110">
        <f t="shared" si="1"/>
        <v>1744358.6628000003</v>
      </c>
      <c r="N15" s="110">
        <f t="shared" si="1"/>
        <v>1849020.1825680004</v>
      </c>
    </row>
    <row r="16" spans="1:14" x14ac:dyDescent="0.25">
      <c r="A16" s="109" t="s">
        <v>11</v>
      </c>
      <c r="B16" s="108" t="s">
        <v>39</v>
      </c>
      <c r="C16" s="109" t="s">
        <v>40</v>
      </c>
      <c r="D16" s="110">
        <v>39270</v>
      </c>
      <c r="F16" s="110">
        <v>2825.68</v>
      </c>
      <c r="G16" s="110">
        <v>0</v>
      </c>
      <c r="H16" s="110">
        <v>21713.119999999999</v>
      </c>
      <c r="J16" s="110">
        <v>17556.88</v>
      </c>
      <c r="K16" s="110">
        <v>55.29</v>
      </c>
      <c r="L16" s="111">
        <f t="shared" si="0"/>
        <v>41626.200000000004</v>
      </c>
      <c r="M16" s="110">
        <f t="shared" si="1"/>
        <v>44123.772000000004</v>
      </c>
      <c r="N16" s="110">
        <f t="shared" si="1"/>
        <v>46771.19832000001</v>
      </c>
    </row>
    <row r="17" spans="1:14" x14ac:dyDescent="0.25">
      <c r="A17" s="109" t="s">
        <v>11</v>
      </c>
      <c r="B17" s="108" t="s">
        <v>41</v>
      </c>
      <c r="C17" s="109" t="s">
        <v>42</v>
      </c>
      <c r="D17" s="110">
        <v>31995</v>
      </c>
      <c r="F17" s="110">
        <v>0</v>
      </c>
      <c r="G17" s="110">
        <v>0</v>
      </c>
      <c r="H17" s="110">
        <v>0</v>
      </c>
      <c r="J17" s="110">
        <v>31995</v>
      </c>
      <c r="K17" s="110">
        <v>0</v>
      </c>
      <c r="L17" s="111">
        <f t="shared" si="0"/>
        <v>33914.700000000004</v>
      </c>
      <c r="M17" s="110">
        <f t="shared" si="1"/>
        <v>35949.582000000009</v>
      </c>
      <c r="N17" s="110">
        <f t="shared" si="1"/>
        <v>38106.55692000001</v>
      </c>
    </row>
    <row r="18" spans="1:14" x14ac:dyDescent="0.25">
      <c r="A18" s="109" t="s">
        <v>11</v>
      </c>
      <c r="B18" s="108" t="s">
        <v>43</v>
      </c>
      <c r="C18" s="109" t="s">
        <v>44</v>
      </c>
      <c r="D18" s="110">
        <v>49506</v>
      </c>
      <c r="F18" s="110">
        <v>0</v>
      </c>
      <c r="G18" s="110">
        <v>0</v>
      </c>
      <c r="H18" s="110">
        <v>121180.41</v>
      </c>
      <c r="J18" s="110">
        <v>-71674.41</v>
      </c>
      <c r="K18" s="110">
        <v>244.77</v>
      </c>
      <c r="L18" s="111">
        <f t="shared" si="0"/>
        <v>52476.36</v>
      </c>
      <c r="M18" s="110">
        <f t="shared" si="1"/>
        <v>55624.941600000006</v>
      </c>
      <c r="N18" s="110">
        <f t="shared" si="1"/>
        <v>58962.438096000005</v>
      </c>
    </row>
    <row r="19" spans="1:14" x14ac:dyDescent="0.25">
      <c r="A19" s="109" t="s">
        <v>11</v>
      </c>
      <c r="B19" s="108" t="s">
        <v>45</v>
      </c>
      <c r="C19" s="109" t="s">
        <v>46</v>
      </c>
      <c r="D19" s="110">
        <v>707051</v>
      </c>
      <c r="F19" s="110">
        <v>53745.7</v>
      </c>
      <c r="G19" s="110">
        <v>0</v>
      </c>
      <c r="H19" s="110">
        <v>430400.96</v>
      </c>
      <c r="J19" s="110">
        <v>276650.03999999998</v>
      </c>
      <c r="K19" s="110">
        <v>60.87</v>
      </c>
      <c r="L19" s="111">
        <f t="shared" si="0"/>
        <v>749474.06</v>
      </c>
      <c r="M19" s="110">
        <f t="shared" si="1"/>
        <v>794442.50360000005</v>
      </c>
      <c r="N19" s="110">
        <f t="shared" si="1"/>
        <v>842109.05381600012</v>
      </c>
    </row>
    <row r="20" spans="1:14" x14ac:dyDescent="0.25">
      <c r="A20" s="109" t="s">
        <v>11</v>
      </c>
      <c r="B20" s="108" t="s">
        <v>47</v>
      </c>
      <c r="C20" s="109" t="s">
        <v>48</v>
      </c>
      <c r="D20" s="110">
        <v>48240</v>
      </c>
      <c r="F20" s="110">
        <v>3700</v>
      </c>
      <c r="G20" s="110">
        <v>0</v>
      </c>
      <c r="H20" s="110">
        <v>29600</v>
      </c>
      <c r="J20" s="110">
        <v>18640</v>
      </c>
      <c r="K20" s="110">
        <v>61.35</v>
      </c>
      <c r="L20" s="111">
        <f t="shared" si="0"/>
        <v>51134.400000000001</v>
      </c>
      <c r="M20" s="110">
        <f t="shared" si="1"/>
        <v>54202.464000000007</v>
      </c>
      <c r="N20" s="110">
        <f t="shared" si="1"/>
        <v>57454.611840000012</v>
      </c>
    </row>
    <row r="21" spans="1:14" x14ac:dyDescent="0.25">
      <c r="A21" s="109" t="s">
        <v>11</v>
      </c>
      <c r="B21" s="108" t="s">
        <v>49</v>
      </c>
      <c r="C21" s="109" t="s">
        <v>50</v>
      </c>
      <c r="D21" s="110">
        <v>257749</v>
      </c>
      <c r="F21" s="110">
        <v>0</v>
      </c>
      <c r="G21" s="110">
        <v>0</v>
      </c>
      <c r="H21" s="110">
        <v>0</v>
      </c>
      <c r="J21" s="110">
        <v>257749</v>
      </c>
      <c r="K21" s="110">
        <v>0</v>
      </c>
      <c r="L21" s="111">
        <f t="shared" si="0"/>
        <v>273213.94</v>
      </c>
      <c r="M21" s="110">
        <f t="shared" si="1"/>
        <v>289606.77640000003</v>
      </c>
      <c r="N21" s="110">
        <f t="shared" si="1"/>
        <v>306983.18298400007</v>
      </c>
    </row>
    <row r="22" spans="1:14" x14ac:dyDescent="0.25">
      <c r="A22" s="109" t="s">
        <v>11</v>
      </c>
      <c r="B22" s="108" t="s">
        <v>51</v>
      </c>
      <c r="C22" s="109" t="s">
        <v>52</v>
      </c>
      <c r="D22" s="110">
        <v>458151</v>
      </c>
      <c r="F22" s="110">
        <v>0</v>
      </c>
      <c r="G22" s="110">
        <v>0</v>
      </c>
      <c r="H22" s="110">
        <v>0</v>
      </c>
      <c r="J22" s="110">
        <v>458151</v>
      </c>
      <c r="K22" s="110">
        <v>0</v>
      </c>
      <c r="L22" s="111">
        <f t="shared" si="0"/>
        <v>485640.06</v>
      </c>
      <c r="M22" s="110">
        <f t="shared" si="1"/>
        <v>514778.46360000002</v>
      </c>
      <c r="N22" s="110">
        <f t="shared" si="1"/>
        <v>545665.171416</v>
      </c>
    </row>
    <row r="23" spans="1:14" x14ac:dyDescent="0.25">
      <c r="A23" s="109" t="s">
        <v>11</v>
      </c>
      <c r="B23" s="108" t="s">
        <v>53</v>
      </c>
      <c r="C23" s="109" t="s">
        <v>54</v>
      </c>
      <c r="D23" s="110">
        <v>46385</v>
      </c>
      <c r="F23" s="110">
        <v>0</v>
      </c>
      <c r="G23" s="110">
        <v>0</v>
      </c>
      <c r="H23" s="110">
        <v>0</v>
      </c>
      <c r="J23" s="110">
        <v>46385</v>
      </c>
      <c r="K23" s="110">
        <v>0</v>
      </c>
      <c r="L23" s="111">
        <f t="shared" si="0"/>
        <v>49168.100000000006</v>
      </c>
      <c r="M23" s="110">
        <f t="shared" si="1"/>
        <v>52118.186000000009</v>
      </c>
      <c r="N23" s="110">
        <f t="shared" si="1"/>
        <v>55245.277160000012</v>
      </c>
    </row>
    <row r="24" spans="1:14" x14ac:dyDescent="0.25">
      <c r="A24" s="109" t="s">
        <v>11</v>
      </c>
      <c r="B24" s="108" t="s">
        <v>55</v>
      </c>
      <c r="C24" s="109" t="s">
        <v>56</v>
      </c>
      <c r="D24" s="110">
        <v>816676</v>
      </c>
      <c r="F24" s="110">
        <v>57258.33</v>
      </c>
      <c r="G24" s="110">
        <v>0</v>
      </c>
      <c r="H24" s="110">
        <v>467398.14</v>
      </c>
      <c r="J24" s="110">
        <v>349277.86</v>
      </c>
      <c r="K24" s="110">
        <v>57.23</v>
      </c>
      <c r="L24" s="111">
        <f t="shared" si="0"/>
        <v>865676.56</v>
      </c>
      <c r="M24" s="110">
        <f t="shared" si="1"/>
        <v>917617.15360000008</v>
      </c>
      <c r="N24" s="110">
        <f t="shared" si="1"/>
        <v>972674.18281600019</v>
      </c>
    </row>
    <row r="25" spans="1:14" x14ac:dyDescent="0.25">
      <c r="A25" s="109" t="s">
        <v>11</v>
      </c>
      <c r="B25" s="108" t="s">
        <v>57</v>
      </c>
      <c r="C25" s="109" t="s">
        <v>58</v>
      </c>
      <c r="D25" s="110">
        <v>48240</v>
      </c>
      <c r="F25" s="110">
        <v>3700</v>
      </c>
      <c r="G25" s="110">
        <v>0</v>
      </c>
      <c r="H25" s="110">
        <v>29600</v>
      </c>
      <c r="J25" s="110">
        <v>18640</v>
      </c>
      <c r="K25" s="110">
        <v>61.35</v>
      </c>
      <c r="L25" s="111">
        <f t="shared" si="0"/>
        <v>51134.400000000001</v>
      </c>
      <c r="M25" s="110">
        <f t="shared" si="1"/>
        <v>54202.464000000007</v>
      </c>
      <c r="N25" s="110">
        <f t="shared" si="1"/>
        <v>57454.611840000012</v>
      </c>
    </row>
    <row r="26" spans="1:14" x14ac:dyDescent="0.25">
      <c r="A26" s="109" t="s">
        <v>11</v>
      </c>
      <c r="B26" s="108" t="s">
        <v>59</v>
      </c>
      <c r="C26" s="109" t="s">
        <v>60</v>
      </c>
      <c r="D26" s="110">
        <v>2387438</v>
      </c>
      <c r="F26" s="110">
        <v>132056.48000000001</v>
      </c>
      <c r="G26" s="110">
        <v>0</v>
      </c>
      <c r="H26" s="110">
        <v>1216890.01</v>
      </c>
      <c r="J26" s="110">
        <v>1170547.99</v>
      </c>
      <c r="K26" s="110">
        <v>50.97</v>
      </c>
      <c r="L26" s="111">
        <f t="shared" si="0"/>
        <v>2530684.2800000003</v>
      </c>
      <c r="M26" s="110">
        <f t="shared" si="1"/>
        <v>2682525.3368000006</v>
      </c>
      <c r="N26" s="110">
        <f t="shared" si="1"/>
        <v>2843476.8570080008</v>
      </c>
    </row>
    <row r="27" spans="1:14" x14ac:dyDescent="0.25">
      <c r="A27" s="109" t="s">
        <v>11</v>
      </c>
      <c r="B27" s="108" t="s">
        <v>61</v>
      </c>
      <c r="C27" s="109" t="s">
        <v>62</v>
      </c>
      <c r="D27" s="110">
        <v>3553529</v>
      </c>
      <c r="F27" s="110">
        <v>255000.86</v>
      </c>
      <c r="G27" s="110">
        <v>0</v>
      </c>
      <c r="H27" s="110">
        <v>2283031.38</v>
      </c>
      <c r="J27" s="110">
        <v>1270497.6200000001</v>
      </c>
      <c r="K27" s="110">
        <v>64.239999999999995</v>
      </c>
      <c r="L27" s="111">
        <f t="shared" si="0"/>
        <v>3766740.74</v>
      </c>
      <c r="M27" s="110">
        <f t="shared" si="1"/>
        <v>3992745.1844000006</v>
      </c>
      <c r="N27" s="110">
        <f t="shared" si="1"/>
        <v>4232309.8954640012</v>
      </c>
    </row>
    <row r="28" spans="1:14" x14ac:dyDescent="0.25">
      <c r="A28" s="109" t="s">
        <v>11</v>
      </c>
      <c r="B28" s="108" t="s">
        <v>63</v>
      </c>
      <c r="C28" s="109" t="s">
        <v>64</v>
      </c>
      <c r="D28" s="110">
        <v>434159</v>
      </c>
      <c r="F28" s="110">
        <v>29000</v>
      </c>
      <c r="G28" s="110">
        <v>0</v>
      </c>
      <c r="H28" s="110">
        <v>255565.95</v>
      </c>
      <c r="J28" s="110">
        <v>178593.05</v>
      </c>
      <c r="K28" s="110">
        <v>58.86</v>
      </c>
      <c r="L28" s="111">
        <f t="shared" si="0"/>
        <v>460208.54000000004</v>
      </c>
      <c r="M28" s="110">
        <f t="shared" si="1"/>
        <v>487821.05240000004</v>
      </c>
      <c r="N28" s="110">
        <f t="shared" si="1"/>
        <v>517090.31554400007</v>
      </c>
    </row>
    <row r="29" spans="1:14" x14ac:dyDescent="0.25">
      <c r="A29" s="109" t="s">
        <v>11</v>
      </c>
      <c r="B29" s="108" t="s">
        <v>65</v>
      </c>
      <c r="C29" s="109" t="s">
        <v>66</v>
      </c>
      <c r="D29" s="110">
        <v>4505215</v>
      </c>
      <c r="F29" s="110">
        <v>178953.56</v>
      </c>
      <c r="G29" s="110">
        <v>0</v>
      </c>
      <c r="H29" s="110">
        <v>2177655.8199999998</v>
      </c>
      <c r="J29" s="110">
        <v>2327559.1800000002</v>
      </c>
      <c r="K29" s="110">
        <v>48.33</v>
      </c>
      <c r="L29" s="111">
        <f t="shared" si="0"/>
        <v>4775527.9000000004</v>
      </c>
      <c r="M29" s="110">
        <f t="shared" si="1"/>
        <v>5062059.574000001</v>
      </c>
      <c r="N29" s="110">
        <f t="shared" si="1"/>
        <v>5365783.1484400015</v>
      </c>
    </row>
    <row r="30" spans="1:14" x14ac:dyDescent="0.25">
      <c r="A30" s="109" t="s">
        <v>11</v>
      </c>
      <c r="B30" s="108" t="s">
        <v>67</v>
      </c>
      <c r="C30" s="109" t="s">
        <v>68</v>
      </c>
      <c r="D30" s="110">
        <v>1943064</v>
      </c>
      <c r="F30" s="110">
        <v>190285.1</v>
      </c>
      <c r="G30" s="110">
        <v>0</v>
      </c>
      <c r="H30" s="110">
        <v>1407986.97</v>
      </c>
      <c r="J30" s="110">
        <v>535077.03</v>
      </c>
      <c r="K30" s="110">
        <v>72.459999999999994</v>
      </c>
      <c r="L30" s="111">
        <f t="shared" si="0"/>
        <v>2059647.84</v>
      </c>
      <c r="M30" s="110">
        <f t="shared" si="1"/>
        <v>2183226.7104000002</v>
      </c>
      <c r="N30" s="110">
        <f t="shared" si="1"/>
        <v>2314220.3130240003</v>
      </c>
    </row>
    <row r="31" spans="1:14" x14ac:dyDescent="0.25">
      <c r="A31" s="109" t="s">
        <v>11</v>
      </c>
      <c r="B31" s="108" t="s">
        <v>69</v>
      </c>
      <c r="C31" s="109" t="s">
        <v>70</v>
      </c>
      <c r="D31" s="110">
        <v>1286733</v>
      </c>
      <c r="F31" s="110">
        <v>92640</v>
      </c>
      <c r="G31" s="110">
        <v>0</v>
      </c>
      <c r="H31" s="110">
        <v>725420</v>
      </c>
      <c r="J31" s="110">
        <v>561313</v>
      </c>
      <c r="K31" s="110">
        <v>56.37</v>
      </c>
      <c r="L31" s="111">
        <f t="shared" si="0"/>
        <v>1363936.98</v>
      </c>
      <c r="M31" s="110">
        <f t="shared" si="1"/>
        <v>1445773.1988000001</v>
      </c>
      <c r="N31" s="110">
        <f t="shared" si="1"/>
        <v>1532519.5907280003</v>
      </c>
    </row>
    <row r="32" spans="1:14" x14ac:dyDescent="0.25">
      <c r="A32" s="109" t="s">
        <v>11</v>
      </c>
      <c r="B32" s="108" t="s">
        <v>71</v>
      </c>
      <c r="C32" s="109" t="s">
        <v>72</v>
      </c>
      <c r="D32" s="110">
        <v>53028</v>
      </c>
      <c r="F32" s="110">
        <v>4030.93</v>
      </c>
      <c r="G32" s="110">
        <v>0</v>
      </c>
      <c r="H32" s="110">
        <v>32280.080000000002</v>
      </c>
      <c r="J32" s="110">
        <v>20747.919999999998</v>
      </c>
      <c r="K32" s="110">
        <v>60.87</v>
      </c>
      <c r="L32" s="111">
        <f t="shared" si="0"/>
        <v>56209.68</v>
      </c>
      <c r="M32" s="110">
        <f t="shared" si="1"/>
        <v>59582.260800000004</v>
      </c>
      <c r="N32" s="110">
        <f t="shared" si="1"/>
        <v>63157.19644800001</v>
      </c>
    </row>
    <row r="33" spans="1:14" x14ac:dyDescent="0.25">
      <c r="A33" s="109" t="s">
        <v>11</v>
      </c>
      <c r="B33" s="108" t="s">
        <v>73</v>
      </c>
      <c r="C33" s="109" t="s">
        <v>74</v>
      </c>
      <c r="D33" s="110">
        <v>21605</v>
      </c>
      <c r="F33" s="110">
        <v>1813.2</v>
      </c>
      <c r="G33" s="110">
        <v>0</v>
      </c>
      <c r="H33" s="110">
        <v>14037.6</v>
      </c>
      <c r="J33" s="110">
        <v>7567.4</v>
      </c>
      <c r="K33" s="110">
        <v>64.97</v>
      </c>
      <c r="L33" s="111">
        <f t="shared" si="0"/>
        <v>22901.300000000003</v>
      </c>
      <c r="M33" s="110">
        <f t="shared" si="1"/>
        <v>24275.378000000004</v>
      </c>
      <c r="N33" s="110">
        <f t="shared" si="1"/>
        <v>25731.900680000006</v>
      </c>
    </row>
    <row r="34" spans="1:14" x14ac:dyDescent="0.25">
      <c r="A34" s="109" t="s">
        <v>11</v>
      </c>
      <c r="B34" s="108" t="s">
        <v>75</v>
      </c>
      <c r="C34" s="109" t="s">
        <v>76</v>
      </c>
      <c r="D34" s="110">
        <v>34361</v>
      </c>
      <c r="F34" s="110">
        <v>0</v>
      </c>
      <c r="G34" s="110">
        <v>0</v>
      </c>
      <c r="H34" s="110">
        <v>0</v>
      </c>
      <c r="J34" s="110">
        <v>34361</v>
      </c>
      <c r="K34" s="110">
        <v>0</v>
      </c>
      <c r="L34" s="111">
        <f t="shared" si="0"/>
        <v>36422.660000000003</v>
      </c>
      <c r="M34" s="110">
        <f t="shared" si="1"/>
        <v>38608.019600000007</v>
      </c>
      <c r="N34" s="110">
        <f t="shared" si="1"/>
        <v>40924.500776000008</v>
      </c>
    </row>
    <row r="35" spans="1:14" x14ac:dyDescent="0.25">
      <c r="A35" s="109" t="s">
        <v>11</v>
      </c>
      <c r="B35" s="108" t="s">
        <v>77</v>
      </c>
      <c r="C35" s="109" t="s">
        <v>78</v>
      </c>
      <c r="D35" s="110">
        <v>35941</v>
      </c>
      <c r="F35" s="110">
        <v>0</v>
      </c>
      <c r="G35" s="110">
        <v>0</v>
      </c>
      <c r="H35" s="110">
        <v>0</v>
      </c>
      <c r="J35" s="110">
        <v>35941</v>
      </c>
      <c r="K35" s="110">
        <v>0</v>
      </c>
      <c r="L35" s="111">
        <f t="shared" si="0"/>
        <v>38097.46</v>
      </c>
      <c r="M35" s="110">
        <f t="shared" si="1"/>
        <v>40383.3076</v>
      </c>
      <c r="N35" s="110">
        <f t="shared" si="1"/>
        <v>42806.306056000001</v>
      </c>
    </row>
    <row r="36" spans="1:14" x14ac:dyDescent="0.25">
      <c r="A36" s="109" t="s">
        <v>11</v>
      </c>
      <c r="B36" s="108" t="s">
        <v>79</v>
      </c>
      <c r="C36" s="109" t="s">
        <v>80</v>
      </c>
      <c r="D36" s="110">
        <v>61250</v>
      </c>
      <c r="F36" s="110">
        <v>4294.37</v>
      </c>
      <c r="G36" s="110">
        <v>0</v>
      </c>
      <c r="H36" s="110">
        <v>35054.86</v>
      </c>
      <c r="J36" s="110">
        <v>26195.14</v>
      </c>
      <c r="K36" s="110">
        <v>57.23</v>
      </c>
      <c r="L36" s="111">
        <f t="shared" si="0"/>
        <v>64925</v>
      </c>
      <c r="M36" s="110">
        <f t="shared" si="1"/>
        <v>68820.5</v>
      </c>
      <c r="N36" s="110">
        <f t="shared" si="1"/>
        <v>72949.73000000001</v>
      </c>
    </row>
    <row r="37" spans="1:14" x14ac:dyDescent="0.25">
      <c r="A37" s="109" t="s">
        <v>11</v>
      </c>
      <c r="B37" s="108" t="s">
        <v>81</v>
      </c>
      <c r="C37" s="109" t="s">
        <v>82</v>
      </c>
      <c r="D37" s="110">
        <v>277070</v>
      </c>
      <c r="F37" s="110">
        <v>19125.07</v>
      </c>
      <c r="G37" s="110">
        <v>0</v>
      </c>
      <c r="H37" s="110">
        <v>169680.62</v>
      </c>
      <c r="J37" s="110">
        <v>107389.38</v>
      </c>
      <c r="K37" s="110">
        <v>61.24</v>
      </c>
      <c r="L37" s="111">
        <f t="shared" si="0"/>
        <v>293694.2</v>
      </c>
      <c r="M37" s="110">
        <f t="shared" si="1"/>
        <v>311315.85200000001</v>
      </c>
      <c r="N37" s="110">
        <f t="shared" si="1"/>
        <v>329994.80312000006</v>
      </c>
    </row>
    <row r="38" spans="1:14" x14ac:dyDescent="0.25">
      <c r="A38" s="109" t="s">
        <v>11</v>
      </c>
      <c r="B38" s="108" t="s">
        <v>83</v>
      </c>
      <c r="C38" s="109" t="s">
        <v>84</v>
      </c>
      <c r="D38" s="110">
        <v>180281</v>
      </c>
      <c r="F38" s="110">
        <v>16072.8</v>
      </c>
      <c r="G38" s="110">
        <v>0</v>
      </c>
      <c r="H38" s="110">
        <v>128235</v>
      </c>
      <c r="J38" s="110">
        <v>52046</v>
      </c>
      <c r="K38" s="110">
        <v>71.13</v>
      </c>
      <c r="L38" s="111">
        <f t="shared" si="0"/>
        <v>191097.86000000002</v>
      </c>
      <c r="M38" s="110">
        <f t="shared" si="1"/>
        <v>202563.73160000003</v>
      </c>
      <c r="N38" s="110">
        <f t="shared" si="1"/>
        <v>214717.55549600004</v>
      </c>
    </row>
    <row r="39" spans="1:14" x14ac:dyDescent="0.25">
      <c r="A39" s="109" t="s">
        <v>11</v>
      </c>
      <c r="B39" s="108" t="s">
        <v>85</v>
      </c>
      <c r="C39" s="109" t="s">
        <v>86</v>
      </c>
      <c r="D39" s="110">
        <v>136717</v>
      </c>
      <c r="F39" s="110">
        <v>11930.12</v>
      </c>
      <c r="G39" s="110">
        <v>0</v>
      </c>
      <c r="H39" s="110">
        <v>86868.95</v>
      </c>
      <c r="J39" s="110">
        <v>49848.05</v>
      </c>
      <c r="K39" s="110">
        <v>63.53</v>
      </c>
      <c r="L39" s="111">
        <f t="shared" si="0"/>
        <v>144920.02000000002</v>
      </c>
      <c r="M39" s="110">
        <f t="shared" si="1"/>
        <v>153615.22120000003</v>
      </c>
      <c r="N39" s="110">
        <f t="shared" si="1"/>
        <v>162832.13447200003</v>
      </c>
    </row>
    <row r="40" spans="1:14" x14ac:dyDescent="0.25">
      <c r="A40" s="109" t="s">
        <v>11</v>
      </c>
      <c r="B40" s="108" t="s">
        <v>87</v>
      </c>
      <c r="C40" s="109" t="s">
        <v>88</v>
      </c>
      <c r="D40" s="110">
        <v>80862</v>
      </c>
      <c r="F40" s="110">
        <v>0</v>
      </c>
      <c r="G40" s="110">
        <v>0</v>
      </c>
      <c r="H40" s="110">
        <v>4050</v>
      </c>
      <c r="J40" s="110">
        <v>76812</v>
      </c>
      <c r="K40" s="110">
        <v>5</v>
      </c>
      <c r="L40" s="111">
        <f>D40*1.041</f>
        <v>84177.34199999999</v>
      </c>
      <c r="M40" s="110">
        <f>L40*1.044</f>
        <v>87881.145047999991</v>
      </c>
      <c r="N40" s="110">
        <f>M40*1.045</f>
        <v>91835.796575159984</v>
      </c>
    </row>
    <row r="41" spans="1:14" x14ac:dyDescent="0.25">
      <c r="A41" s="109" t="s">
        <v>11</v>
      </c>
      <c r="B41" s="108" t="s">
        <v>89</v>
      </c>
      <c r="C41" s="109" t="s">
        <v>88</v>
      </c>
      <c r="D41" s="110">
        <v>80862</v>
      </c>
      <c r="F41" s="110">
        <v>0</v>
      </c>
      <c r="G41" s="110">
        <v>0</v>
      </c>
      <c r="H41" s="110">
        <v>7953.76</v>
      </c>
      <c r="J41" s="110">
        <v>72908.240000000005</v>
      </c>
      <c r="K41" s="110">
        <v>9.83</v>
      </c>
      <c r="L41" s="111">
        <f t="shared" ref="L41:L68" si="2">D41*1.041</f>
        <v>84177.34199999999</v>
      </c>
      <c r="M41" s="110">
        <f t="shared" ref="M41:M68" si="3">L41*1.044</f>
        <v>87881.145047999991</v>
      </c>
      <c r="N41" s="110">
        <f t="shared" ref="N41:N68" si="4">M41*1.045</f>
        <v>91835.796575159984</v>
      </c>
    </row>
    <row r="42" spans="1:14" x14ac:dyDescent="0.25">
      <c r="A42" s="109" t="s">
        <v>11</v>
      </c>
      <c r="B42" s="108" t="s">
        <v>90</v>
      </c>
      <c r="C42" s="109" t="s">
        <v>88</v>
      </c>
      <c r="D42" s="110">
        <v>404309</v>
      </c>
      <c r="F42" s="110">
        <v>0</v>
      </c>
      <c r="G42" s="110">
        <v>10088.26</v>
      </c>
      <c r="H42" s="110">
        <v>108623.12</v>
      </c>
      <c r="J42" s="110">
        <v>295685.88</v>
      </c>
      <c r="K42" s="110">
        <v>26.86</v>
      </c>
      <c r="L42" s="111">
        <f t="shared" si="2"/>
        <v>420885.66899999999</v>
      </c>
      <c r="M42" s="110">
        <f t="shared" si="3"/>
        <v>439404.63843600004</v>
      </c>
      <c r="N42" s="110">
        <f t="shared" si="4"/>
        <v>459177.84716562001</v>
      </c>
    </row>
    <row r="43" spans="1:14" x14ac:dyDescent="0.25">
      <c r="A43" s="109" t="s">
        <v>11</v>
      </c>
      <c r="B43" s="108" t="s">
        <v>91</v>
      </c>
      <c r="C43" s="109" t="s">
        <v>88</v>
      </c>
      <c r="D43" s="110">
        <v>32345</v>
      </c>
      <c r="F43" s="110">
        <v>0</v>
      </c>
      <c r="G43" s="110">
        <v>0</v>
      </c>
      <c r="H43" s="110">
        <v>5170</v>
      </c>
      <c r="J43" s="110">
        <v>27175</v>
      </c>
      <c r="K43" s="110">
        <v>15.98</v>
      </c>
      <c r="L43" s="111">
        <f t="shared" si="2"/>
        <v>33671.144999999997</v>
      </c>
      <c r="M43" s="110">
        <f t="shared" si="3"/>
        <v>35152.675380000001</v>
      </c>
      <c r="N43" s="110">
        <f t="shared" si="4"/>
        <v>36734.545772099998</v>
      </c>
    </row>
    <row r="44" spans="1:14" x14ac:dyDescent="0.25">
      <c r="A44" s="109" t="s">
        <v>11</v>
      </c>
      <c r="B44" s="108" t="s">
        <v>92</v>
      </c>
      <c r="C44" s="109" t="s">
        <v>88</v>
      </c>
      <c r="D44" s="110">
        <v>48517</v>
      </c>
      <c r="F44" s="110">
        <v>0</v>
      </c>
      <c r="G44" s="110">
        <v>0</v>
      </c>
      <c r="H44" s="110">
        <v>0</v>
      </c>
      <c r="J44" s="110">
        <v>48517</v>
      </c>
      <c r="K44" s="110">
        <v>0</v>
      </c>
      <c r="L44" s="111">
        <f t="shared" si="2"/>
        <v>50506.196999999993</v>
      </c>
      <c r="M44" s="110">
        <f t="shared" si="3"/>
        <v>52728.469667999998</v>
      </c>
      <c r="N44" s="110">
        <f t="shared" si="4"/>
        <v>55101.250803059993</v>
      </c>
    </row>
    <row r="45" spans="1:14" x14ac:dyDescent="0.25">
      <c r="A45" s="109" t="s">
        <v>11</v>
      </c>
      <c r="B45" s="108" t="s">
        <v>93</v>
      </c>
      <c r="C45" s="109" t="s">
        <v>88</v>
      </c>
      <c r="D45" s="110">
        <v>80862</v>
      </c>
      <c r="F45" s="110">
        <v>0</v>
      </c>
      <c r="G45" s="110">
        <v>0</v>
      </c>
      <c r="H45" s="110">
        <v>0</v>
      </c>
      <c r="J45" s="110">
        <v>80862</v>
      </c>
      <c r="K45" s="110">
        <v>0</v>
      </c>
      <c r="L45" s="111">
        <f t="shared" si="2"/>
        <v>84177.34199999999</v>
      </c>
      <c r="M45" s="110">
        <f t="shared" si="3"/>
        <v>87881.145047999991</v>
      </c>
      <c r="N45" s="110">
        <f t="shared" si="4"/>
        <v>91835.796575159984</v>
      </c>
    </row>
    <row r="46" spans="1:14" x14ac:dyDescent="0.25">
      <c r="A46" s="109" t="s">
        <v>11</v>
      </c>
      <c r="B46" s="108" t="s">
        <v>94</v>
      </c>
      <c r="C46" s="109" t="s">
        <v>88</v>
      </c>
      <c r="D46" s="110">
        <v>24259</v>
      </c>
      <c r="F46" s="110">
        <v>0</v>
      </c>
      <c r="G46" s="110">
        <v>0</v>
      </c>
      <c r="H46" s="110">
        <v>0</v>
      </c>
      <c r="J46" s="110">
        <v>24259</v>
      </c>
      <c r="K46" s="110">
        <v>0</v>
      </c>
      <c r="L46" s="111">
        <f t="shared" si="2"/>
        <v>25253.618999999999</v>
      </c>
      <c r="M46" s="110">
        <f t="shared" si="3"/>
        <v>26364.778235999998</v>
      </c>
      <c r="N46" s="110">
        <f t="shared" si="4"/>
        <v>27551.193256619998</v>
      </c>
    </row>
    <row r="47" spans="1:14" x14ac:dyDescent="0.25">
      <c r="A47" s="109" t="s">
        <v>11</v>
      </c>
      <c r="B47" s="108" t="s">
        <v>95</v>
      </c>
      <c r="C47" s="109" t="s">
        <v>96</v>
      </c>
      <c r="D47" s="110">
        <v>40431</v>
      </c>
      <c r="F47" s="110">
        <v>0</v>
      </c>
      <c r="G47" s="110">
        <v>0</v>
      </c>
      <c r="H47" s="110">
        <v>0</v>
      </c>
      <c r="J47" s="110">
        <v>40431</v>
      </c>
      <c r="K47" s="110">
        <v>0</v>
      </c>
      <c r="L47" s="111">
        <f t="shared" si="2"/>
        <v>42088.670999999995</v>
      </c>
      <c r="M47" s="110">
        <f t="shared" si="3"/>
        <v>43940.572523999996</v>
      </c>
      <c r="N47" s="110">
        <f t="shared" si="4"/>
        <v>45917.898287579992</v>
      </c>
    </row>
    <row r="48" spans="1:14" x14ac:dyDescent="0.25">
      <c r="A48" s="109" t="s">
        <v>11</v>
      </c>
      <c r="B48" s="108" t="s">
        <v>97</v>
      </c>
      <c r="C48" s="109" t="s">
        <v>98</v>
      </c>
      <c r="D48" s="110">
        <v>3977058</v>
      </c>
      <c r="F48" s="110">
        <v>0</v>
      </c>
      <c r="G48" s="110">
        <v>0</v>
      </c>
      <c r="H48" s="110">
        <v>0</v>
      </c>
      <c r="J48" s="110">
        <v>3977058</v>
      </c>
      <c r="K48" s="110">
        <v>0</v>
      </c>
      <c r="L48" s="111">
        <f t="shared" si="2"/>
        <v>4140117.3779999996</v>
      </c>
      <c r="M48" s="110">
        <f t="shared" si="3"/>
        <v>4322282.5426319996</v>
      </c>
      <c r="N48" s="110">
        <f t="shared" si="4"/>
        <v>4516785.2570504397</v>
      </c>
    </row>
    <row r="49" spans="1:14" x14ac:dyDescent="0.25">
      <c r="A49" s="109" t="s">
        <v>11</v>
      </c>
      <c r="B49" s="108" t="s">
        <v>99</v>
      </c>
      <c r="C49" s="109" t="s">
        <v>100</v>
      </c>
      <c r="D49" s="110">
        <v>4043</v>
      </c>
      <c r="F49" s="110">
        <v>0</v>
      </c>
      <c r="G49" s="110">
        <v>0</v>
      </c>
      <c r="H49" s="110">
        <v>0</v>
      </c>
      <c r="J49" s="110">
        <v>4043</v>
      </c>
      <c r="K49" s="110">
        <v>0</v>
      </c>
      <c r="L49" s="111">
        <f t="shared" si="2"/>
        <v>4208.7629999999999</v>
      </c>
      <c r="M49" s="110">
        <f t="shared" si="3"/>
        <v>4393.9485720000002</v>
      </c>
      <c r="N49" s="110">
        <f t="shared" si="4"/>
        <v>4591.6762577399995</v>
      </c>
    </row>
    <row r="50" spans="1:14" x14ac:dyDescent="0.25">
      <c r="A50" s="109" t="s">
        <v>11</v>
      </c>
      <c r="B50" s="108" t="s">
        <v>101</v>
      </c>
      <c r="C50" s="109" t="s">
        <v>102</v>
      </c>
      <c r="D50" s="110">
        <v>121293</v>
      </c>
      <c r="F50" s="110">
        <v>0</v>
      </c>
      <c r="G50" s="110">
        <v>0</v>
      </c>
      <c r="H50" s="110">
        <v>0</v>
      </c>
      <c r="J50" s="110">
        <v>121293</v>
      </c>
      <c r="K50" s="110">
        <v>0</v>
      </c>
      <c r="L50" s="111">
        <f t="shared" si="2"/>
        <v>126266.01299999999</v>
      </c>
      <c r="M50" s="110">
        <f t="shared" si="3"/>
        <v>131821.71757199999</v>
      </c>
      <c r="N50" s="110">
        <f t="shared" si="4"/>
        <v>137753.69486274</v>
      </c>
    </row>
    <row r="51" spans="1:14" x14ac:dyDescent="0.25">
      <c r="A51" s="109" t="s">
        <v>11</v>
      </c>
      <c r="B51" s="108" t="s">
        <v>103</v>
      </c>
      <c r="C51" s="109" t="s">
        <v>102</v>
      </c>
      <c r="D51" s="110">
        <v>12534</v>
      </c>
      <c r="F51" s="110">
        <v>0</v>
      </c>
      <c r="G51" s="110">
        <v>0</v>
      </c>
      <c r="H51" s="110">
        <v>0</v>
      </c>
      <c r="J51" s="110">
        <v>12534</v>
      </c>
      <c r="K51" s="110">
        <v>0</v>
      </c>
      <c r="L51" s="111">
        <f t="shared" si="2"/>
        <v>13047.893999999998</v>
      </c>
      <c r="M51" s="110">
        <f t="shared" si="3"/>
        <v>13622.001335999999</v>
      </c>
      <c r="N51" s="110">
        <f t="shared" si="4"/>
        <v>14234.991396119998</v>
      </c>
    </row>
    <row r="52" spans="1:14" x14ac:dyDescent="0.25">
      <c r="A52" s="109" t="s">
        <v>11</v>
      </c>
      <c r="B52" s="108" t="s">
        <v>104</v>
      </c>
      <c r="C52" s="109" t="s">
        <v>102</v>
      </c>
      <c r="D52" s="110">
        <v>105120</v>
      </c>
      <c r="F52" s="110">
        <v>0</v>
      </c>
      <c r="G52" s="110">
        <v>26500</v>
      </c>
      <c r="H52" s="110">
        <v>0</v>
      </c>
      <c r="J52" s="110">
        <v>105120</v>
      </c>
      <c r="K52" s="110">
        <v>0</v>
      </c>
      <c r="L52" s="111">
        <f t="shared" si="2"/>
        <v>109429.92</v>
      </c>
      <c r="M52" s="110">
        <f t="shared" si="3"/>
        <v>114244.83648</v>
      </c>
      <c r="N52" s="110">
        <f t="shared" si="4"/>
        <v>119385.85412159999</v>
      </c>
    </row>
    <row r="53" spans="1:14" x14ac:dyDescent="0.25">
      <c r="A53" s="109" t="s">
        <v>11</v>
      </c>
      <c r="B53" s="108" t="s">
        <v>105</v>
      </c>
      <c r="C53" s="109" t="s">
        <v>102</v>
      </c>
      <c r="D53" s="110">
        <v>20215</v>
      </c>
      <c r="F53" s="110">
        <v>0</v>
      </c>
      <c r="G53" s="110">
        <v>0</v>
      </c>
      <c r="H53" s="110">
        <v>0</v>
      </c>
      <c r="J53" s="110">
        <v>20215</v>
      </c>
      <c r="K53" s="110">
        <v>0</v>
      </c>
      <c r="L53" s="111">
        <f t="shared" si="2"/>
        <v>21043.814999999999</v>
      </c>
      <c r="M53" s="110">
        <f t="shared" si="3"/>
        <v>21969.742859999998</v>
      </c>
      <c r="N53" s="110">
        <f t="shared" si="4"/>
        <v>22958.381288699999</v>
      </c>
    </row>
    <row r="54" spans="1:14" x14ac:dyDescent="0.25">
      <c r="A54" s="109" t="s">
        <v>11</v>
      </c>
      <c r="B54" s="108" t="s">
        <v>106</v>
      </c>
      <c r="C54" s="109" t="s">
        <v>107</v>
      </c>
      <c r="D54" s="110">
        <v>196739</v>
      </c>
      <c r="F54" s="110">
        <v>18105.580000000002</v>
      </c>
      <c r="G54" s="110">
        <v>0</v>
      </c>
      <c r="H54" s="110">
        <v>119350.76</v>
      </c>
      <c r="J54" s="110">
        <v>77388.240000000005</v>
      </c>
      <c r="K54" s="110">
        <v>60.66</v>
      </c>
      <c r="L54" s="111">
        <f t="shared" si="2"/>
        <v>204805.299</v>
      </c>
      <c r="M54" s="110">
        <f t="shared" si="3"/>
        <v>213816.73215600001</v>
      </c>
      <c r="N54" s="110">
        <f t="shared" si="4"/>
        <v>223438.48510302001</v>
      </c>
    </row>
    <row r="55" spans="1:14" x14ac:dyDescent="0.25">
      <c r="A55" s="109" t="s">
        <v>11</v>
      </c>
      <c r="B55" s="108" t="s">
        <v>108</v>
      </c>
      <c r="C55" s="109" t="s">
        <v>109</v>
      </c>
      <c r="D55" s="110">
        <v>80862</v>
      </c>
      <c r="F55" s="110">
        <v>0</v>
      </c>
      <c r="G55" s="110">
        <v>0</v>
      </c>
      <c r="H55" s="110">
        <v>0</v>
      </c>
      <c r="J55" s="110">
        <v>80862</v>
      </c>
      <c r="K55" s="110">
        <v>0</v>
      </c>
      <c r="L55" s="111">
        <f t="shared" si="2"/>
        <v>84177.34199999999</v>
      </c>
      <c r="M55" s="110">
        <f t="shared" si="3"/>
        <v>87881.145047999991</v>
      </c>
      <c r="N55" s="110">
        <f t="shared" si="4"/>
        <v>91835.796575159984</v>
      </c>
    </row>
    <row r="56" spans="1:14" x14ac:dyDescent="0.25">
      <c r="A56" s="109" t="s">
        <v>11</v>
      </c>
      <c r="B56" s="108" t="s">
        <v>110</v>
      </c>
      <c r="C56" s="109" t="s">
        <v>111</v>
      </c>
      <c r="D56" s="110">
        <v>105120</v>
      </c>
      <c r="F56" s="110">
        <v>0</v>
      </c>
      <c r="G56" s="110">
        <v>0</v>
      </c>
      <c r="H56" s="110">
        <v>1475</v>
      </c>
      <c r="J56" s="110">
        <v>103645</v>
      </c>
      <c r="K56" s="110">
        <v>1.4</v>
      </c>
      <c r="L56" s="111">
        <f t="shared" si="2"/>
        <v>109429.92</v>
      </c>
      <c r="M56" s="110">
        <f t="shared" si="3"/>
        <v>114244.83648</v>
      </c>
      <c r="N56" s="110">
        <f t="shared" si="4"/>
        <v>119385.85412159999</v>
      </c>
    </row>
    <row r="57" spans="1:14" x14ac:dyDescent="0.25">
      <c r="A57" s="109" t="s">
        <v>11</v>
      </c>
      <c r="B57" s="108" t="s">
        <v>112</v>
      </c>
      <c r="C57" s="109" t="s">
        <v>111</v>
      </c>
      <c r="D57" s="110">
        <v>32345</v>
      </c>
      <c r="F57" s="110">
        <v>0</v>
      </c>
      <c r="G57" s="110">
        <v>0</v>
      </c>
      <c r="H57" s="110">
        <v>13593.6</v>
      </c>
      <c r="J57" s="110">
        <v>18751.400000000001</v>
      </c>
      <c r="K57" s="110">
        <v>42.02</v>
      </c>
      <c r="L57" s="111">
        <f t="shared" si="2"/>
        <v>33671.144999999997</v>
      </c>
      <c r="M57" s="110">
        <f t="shared" si="3"/>
        <v>35152.675380000001</v>
      </c>
      <c r="N57" s="110">
        <f t="shared" si="4"/>
        <v>36734.545772099998</v>
      </c>
    </row>
    <row r="58" spans="1:14" x14ac:dyDescent="0.25">
      <c r="A58" s="109" t="s">
        <v>11</v>
      </c>
      <c r="B58" s="108" t="s">
        <v>113</v>
      </c>
      <c r="C58" s="109" t="s">
        <v>111</v>
      </c>
      <c r="D58" s="110">
        <v>323447</v>
      </c>
      <c r="F58" s="110">
        <v>0</v>
      </c>
      <c r="G58" s="110">
        <v>0</v>
      </c>
      <c r="H58" s="110">
        <v>28355.78</v>
      </c>
      <c r="J58" s="110">
        <v>295091.21999999997</v>
      </c>
      <c r="K58" s="110">
        <v>8.76</v>
      </c>
      <c r="L58" s="111">
        <f t="shared" si="2"/>
        <v>336708.32699999999</v>
      </c>
      <c r="M58" s="110">
        <f t="shared" si="3"/>
        <v>351523.493388</v>
      </c>
      <c r="N58" s="110">
        <f t="shared" si="4"/>
        <v>367342.05059045996</v>
      </c>
    </row>
    <row r="59" spans="1:14" x14ac:dyDescent="0.25">
      <c r="A59" s="109" t="s">
        <v>11</v>
      </c>
      <c r="B59" s="108" t="s">
        <v>114</v>
      </c>
      <c r="C59" s="109" t="s">
        <v>111</v>
      </c>
      <c r="D59" s="110">
        <v>242585</v>
      </c>
      <c r="F59" s="110">
        <v>0</v>
      </c>
      <c r="G59" s="110">
        <v>13800</v>
      </c>
      <c r="H59" s="110">
        <v>45986.8</v>
      </c>
      <c r="J59" s="110">
        <v>196598.2</v>
      </c>
      <c r="K59" s="110">
        <v>18.95</v>
      </c>
      <c r="L59" s="111">
        <f t="shared" si="2"/>
        <v>252530.98499999999</v>
      </c>
      <c r="M59" s="110">
        <f t="shared" si="3"/>
        <v>263642.34833999997</v>
      </c>
      <c r="N59" s="110">
        <f t="shared" si="4"/>
        <v>275506.25401529996</v>
      </c>
    </row>
    <row r="60" spans="1:14" x14ac:dyDescent="0.25">
      <c r="A60" s="109" t="s">
        <v>11</v>
      </c>
      <c r="B60" s="108" t="s">
        <v>115</v>
      </c>
      <c r="C60" s="109" t="s">
        <v>116</v>
      </c>
      <c r="D60" s="110">
        <v>40431</v>
      </c>
      <c r="F60" s="110">
        <v>0</v>
      </c>
      <c r="G60" s="110">
        <v>0</v>
      </c>
      <c r="H60" s="110">
        <v>0</v>
      </c>
      <c r="J60" s="110">
        <v>40431</v>
      </c>
      <c r="K60" s="110">
        <v>0</v>
      </c>
      <c r="L60" s="111">
        <f t="shared" si="2"/>
        <v>42088.670999999995</v>
      </c>
      <c r="M60" s="110">
        <f t="shared" si="3"/>
        <v>43940.572523999996</v>
      </c>
      <c r="N60" s="110">
        <f t="shared" si="4"/>
        <v>45917.898287579992</v>
      </c>
    </row>
    <row r="61" spans="1:14" x14ac:dyDescent="0.25">
      <c r="A61" s="109" t="s">
        <v>11</v>
      </c>
      <c r="B61" s="108" t="s">
        <v>117</v>
      </c>
      <c r="C61" s="109" t="s">
        <v>116</v>
      </c>
      <c r="D61" s="110">
        <v>242585</v>
      </c>
      <c r="F61" s="110">
        <v>0</v>
      </c>
      <c r="G61" s="110">
        <v>0</v>
      </c>
      <c r="H61" s="110">
        <v>0</v>
      </c>
      <c r="J61" s="110">
        <v>242585</v>
      </c>
      <c r="K61" s="110">
        <v>0</v>
      </c>
      <c r="L61" s="111">
        <f t="shared" si="2"/>
        <v>252530.98499999999</v>
      </c>
      <c r="M61" s="110">
        <f t="shared" si="3"/>
        <v>263642.34833999997</v>
      </c>
      <c r="N61" s="110">
        <f t="shared" si="4"/>
        <v>275506.25401529996</v>
      </c>
    </row>
    <row r="62" spans="1:14" x14ac:dyDescent="0.25">
      <c r="A62" s="109" t="s">
        <v>11</v>
      </c>
      <c r="B62" s="108" t="s">
        <v>118</v>
      </c>
      <c r="C62" s="109" t="s">
        <v>116</v>
      </c>
      <c r="D62" s="110">
        <v>56603</v>
      </c>
      <c r="F62" s="110">
        <v>0</v>
      </c>
      <c r="G62" s="110">
        <v>0</v>
      </c>
      <c r="H62" s="110">
        <v>0</v>
      </c>
      <c r="J62" s="110">
        <v>56603</v>
      </c>
      <c r="K62" s="110">
        <v>0</v>
      </c>
      <c r="L62" s="111">
        <f t="shared" si="2"/>
        <v>58923.722999999998</v>
      </c>
      <c r="M62" s="110">
        <f t="shared" si="3"/>
        <v>61516.366812</v>
      </c>
      <c r="N62" s="110">
        <f t="shared" si="4"/>
        <v>64284.603318539994</v>
      </c>
    </row>
    <row r="63" spans="1:14" x14ac:dyDescent="0.25">
      <c r="A63" s="109" t="s">
        <v>11</v>
      </c>
      <c r="B63" s="108" t="s">
        <v>119</v>
      </c>
      <c r="C63" s="109" t="s">
        <v>116</v>
      </c>
      <c r="D63" s="110">
        <v>80862</v>
      </c>
      <c r="F63" s="110">
        <v>0</v>
      </c>
      <c r="G63" s="110">
        <v>0</v>
      </c>
      <c r="H63" s="110">
        <v>0</v>
      </c>
      <c r="J63" s="110">
        <v>80862</v>
      </c>
      <c r="K63" s="110">
        <v>0</v>
      </c>
      <c r="L63" s="111">
        <f t="shared" si="2"/>
        <v>84177.34199999999</v>
      </c>
      <c r="M63" s="110">
        <f t="shared" si="3"/>
        <v>87881.145047999991</v>
      </c>
      <c r="N63" s="110">
        <f t="shared" si="4"/>
        <v>91835.796575159984</v>
      </c>
    </row>
    <row r="64" spans="1:14" x14ac:dyDescent="0.25">
      <c r="A64" s="109" t="s">
        <v>11</v>
      </c>
      <c r="B64" s="108" t="s">
        <v>120</v>
      </c>
      <c r="C64" s="109" t="s">
        <v>121</v>
      </c>
      <c r="D64" s="110">
        <v>80862</v>
      </c>
      <c r="F64" s="110">
        <v>0</v>
      </c>
      <c r="G64" s="110">
        <v>0</v>
      </c>
      <c r="H64" s="110">
        <v>0</v>
      </c>
      <c r="J64" s="110">
        <v>80862</v>
      </c>
      <c r="K64" s="110">
        <v>0</v>
      </c>
      <c r="L64" s="111">
        <f t="shared" si="2"/>
        <v>84177.34199999999</v>
      </c>
      <c r="M64" s="110">
        <f t="shared" si="3"/>
        <v>87881.145047999991</v>
      </c>
      <c r="N64" s="110">
        <f t="shared" si="4"/>
        <v>91835.796575159984</v>
      </c>
    </row>
    <row r="65" spans="1:15" s="7" customFormat="1" x14ac:dyDescent="0.25">
      <c r="A65" s="109"/>
      <c r="B65" s="108" t="s">
        <v>695</v>
      </c>
      <c r="C65" s="109" t="s">
        <v>696</v>
      </c>
      <c r="D65" s="110"/>
      <c r="E65" s="110"/>
      <c r="F65" s="110"/>
      <c r="G65" s="110"/>
      <c r="H65" s="110"/>
      <c r="I65" s="110"/>
      <c r="J65" s="110"/>
      <c r="K65" s="110"/>
      <c r="L65" s="115">
        <v>350000</v>
      </c>
      <c r="M65" s="110"/>
      <c r="N65" s="110"/>
      <c r="O65" s="7" t="s">
        <v>697</v>
      </c>
    </row>
    <row r="66" spans="1:15" s="7" customFormat="1" x14ac:dyDescent="0.25">
      <c r="A66" s="109"/>
      <c r="B66" s="108" t="s">
        <v>695</v>
      </c>
      <c r="C66" s="109" t="s">
        <v>698</v>
      </c>
      <c r="D66" s="110"/>
      <c r="E66" s="110"/>
      <c r="F66" s="110"/>
      <c r="G66" s="110"/>
      <c r="H66" s="110"/>
      <c r="I66" s="110"/>
      <c r="J66" s="110"/>
      <c r="K66" s="110"/>
      <c r="L66" s="115">
        <v>150000</v>
      </c>
      <c r="M66" s="110"/>
      <c r="N66" s="110"/>
      <c r="O66" s="7" t="s">
        <v>699</v>
      </c>
    </row>
    <row r="67" spans="1:15" s="7" customFormat="1" x14ac:dyDescent="0.25">
      <c r="A67" s="109"/>
      <c r="B67" s="108"/>
      <c r="C67" s="109" t="s">
        <v>700</v>
      </c>
      <c r="D67" s="110"/>
      <c r="E67" s="110"/>
      <c r="F67" s="110"/>
      <c r="G67" s="110"/>
      <c r="H67" s="110"/>
      <c r="I67" s="110"/>
      <c r="J67" s="110"/>
      <c r="K67" s="110"/>
      <c r="L67" s="115">
        <v>380000</v>
      </c>
      <c r="M67" s="110"/>
      <c r="N67" s="110"/>
      <c r="O67" s="7" t="s">
        <v>701</v>
      </c>
    </row>
    <row r="68" spans="1:15" x14ac:dyDescent="0.25">
      <c r="A68" s="109" t="s">
        <v>11</v>
      </c>
      <c r="B68" s="108" t="s">
        <v>122</v>
      </c>
      <c r="C68" s="109" t="s">
        <v>21</v>
      </c>
      <c r="D68" s="110">
        <v>0</v>
      </c>
      <c r="F68" s="110">
        <v>0</v>
      </c>
      <c r="G68" s="110">
        <v>0</v>
      </c>
      <c r="H68" s="110">
        <v>-151149.15</v>
      </c>
      <c r="J68" s="110">
        <v>151149.15</v>
      </c>
      <c r="K68" s="110">
        <v>0</v>
      </c>
      <c r="L68" s="111">
        <f t="shared" si="2"/>
        <v>0</v>
      </c>
      <c r="M68" s="110">
        <f t="shared" si="3"/>
        <v>0</v>
      </c>
      <c r="N68" s="110">
        <f t="shared" si="4"/>
        <v>0</v>
      </c>
    </row>
    <row r="69" spans="1:15" s="4" customFormat="1" x14ac:dyDescent="0.25">
      <c r="A69" s="112"/>
      <c r="B69" s="113"/>
      <c r="C69" s="112" t="s">
        <v>679</v>
      </c>
      <c r="D69" s="114">
        <f t="shared" ref="D69:N69" si="5">SUM(D2:D68)</f>
        <v>39166728</v>
      </c>
      <c r="E69" s="114">
        <f t="shared" si="5"/>
        <v>0</v>
      </c>
      <c r="F69" s="114">
        <f t="shared" si="5"/>
        <v>2328629.02</v>
      </c>
      <c r="G69" s="114">
        <f t="shared" si="5"/>
        <v>50388.26</v>
      </c>
      <c r="H69" s="114">
        <f t="shared" si="5"/>
        <v>20416376.180000007</v>
      </c>
      <c r="I69" s="114">
        <f t="shared" si="5"/>
        <v>0</v>
      </c>
      <c r="J69" s="114">
        <f t="shared" si="5"/>
        <v>18750351.819999997</v>
      </c>
      <c r="K69" s="114">
        <f t="shared" si="5"/>
        <v>2146.5999999999995</v>
      </c>
      <c r="L69" s="114">
        <f t="shared" si="5"/>
        <v>42272943.81099999</v>
      </c>
      <c r="M69" s="114">
        <f t="shared" si="5"/>
        <v>43768004.084603988</v>
      </c>
      <c r="N69" s="114">
        <f t="shared" si="5"/>
        <v>46287873.94716917</v>
      </c>
    </row>
    <row r="70" spans="1:15" x14ac:dyDescent="0.25">
      <c r="B70" s="108"/>
    </row>
    <row r="71" spans="1:15" x14ac:dyDescent="0.25">
      <c r="A71" s="109" t="s">
        <v>11</v>
      </c>
      <c r="B71" s="108" t="s">
        <v>123</v>
      </c>
      <c r="C71" s="109" t="s">
        <v>13</v>
      </c>
      <c r="D71" s="110">
        <v>18467123</v>
      </c>
      <c r="F71" s="110">
        <v>1947376.23</v>
      </c>
      <c r="G71" s="110">
        <v>0</v>
      </c>
      <c r="H71" s="110">
        <v>14070520.6</v>
      </c>
      <c r="J71" s="110">
        <v>4396602.4000000004</v>
      </c>
      <c r="K71" s="110">
        <v>76.19</v>
      </c>
      <c r="L71" s="111">
        <v>19575150.379999999</v>
      </c>
      <c r="M71" s="110">
        <v>20749659.402800001</v>
      </c>
      <c r="N71" s="110">
        <v>21994638.966968004</v>
      </c>
    </row>
    <row r="72" spans="1:15" x14ac:dyDescent="0.25">
      <c r="A72" s="109" t="s">
        <v>11</v>
      </c>
      <c r="B72" s="108" t="s">
        <v>124</v>
      </c>
      <c r="C72" s="109" t="s">
        <v>15</v>
      </c>
      <c r="D72" s="110">
        <v>201398</v>
      </c>
      <c r="F72" s="110">
        <v>20982</v>
      </c>
      <c r="G72" s="110">
        <v>0</v>
      </c>
      <c r="H72" s="110">
        <v>175851</v>
      </c>
      <c r="J72" s="110">
        <v>25547</v>
      </c>
      <c r="K72" s="110">
        <v>87.31</v>
      </c>
      <c r="L72" s="110">
        <v>201398</v>
      </c>
      <c r="M72" s="110">
        <v>213481.88</v>
      </c>
      <c r="N72" s="110">
        <v>226290.79280000002</v>
      </c>
    </row>
    <row r="73" spans="1:15" x14ac:dyDescent="0.25">
      <c r="A73" s="109" t="s">
        <v>11</v>
      </c>
      <c r="B73" s="108" t="s">
        <v>125</v>
      </c>
      <c r="C73" s="109" t="s">
        <v>17</v>
      </c>
      <c r="D73" s="110">
        <v>121036</v>
      </c>
      <c r="F73" s="110">
        <v>11639.58</v>
      </c>
      <c r="G73" s="110">
        <v>0</v>
      </c>
      <c r="H73" s="110">
        <v>92152.14</v>
      </c>
      <c r="J73" s="110">
        <v>28883.86</v>
      </c>
      <c r="K73" s="110">
        <v>76.13</v>
      </c>
      <c r="L73" s="110">
        <v>121036</v>
      </c>
      <c r="M73" s="110">
        <v>128298.16</v>
      </c>
      <c r="N73" s="110">
        <v>135996.0496</v>
      </c>
    </row>
    <row r="74" spans="1:15" x14ac:dyDescent="0.25">
      <c r="A74" s="109" t="s">
        <v>11</v>
      </c>
      <c r="B74" s="108" t="s">
        <v>126</v>
      </c>
      <c r="C74" s="109" t="s">
        <v>19</v>
      </c>
      <c r="D74" s="110">
        <v>169738</v>
      </c>
      <c r="F74" s="110">
        <v>0</v>
      </c>
      <c r="G74" s="110">
        <v>0</v>
      </c>
      <c r="H74" s="110">
        <v>39169.43</v>
      </c>
      <c r="J74" s="110">
        <v>130568.57</v>
      </c>
      <c r="K74" s="110">
        <v>23.07</v>
      </c>
      <c r="L74" s="110">
        <v>169738</v>
      </c>
      <c r="M74" s="110">
        <v>179922.28</v>
      </c>
      <c r="N74" s="110">
        <v>190717.61680000002</v>
      </c>
    </row>
    <row r="75" spans="1:15" x14ac:dyDescent="0.25">
      <c r="A75" s="109" t="s">
        <v>11</v>
      </c>
      <c r="B75" s="108" t="s">
        <v>127</v>
      </c>
      <c r="C75" s="109" t="s">
        <v>21</v>
      </c>
      <c r="D75" s="110">
        <v>3831837</v>
      </c>
      <c r="F75" s="110">
        <v>244844.77</v>
      </c>
      <c r="G75" s="110">
        <v>0</v>
      </c>
      <c r="H75" s="110">
        <v>1744703.6</v>
      </c>
      <c r="J75" s="110">
        <v>2087133.4</v>
      </c>
      <c r="K75" s="110">
        <v>45.53</v>
      </c>
      <c r="L75" s="110">
        <v>3831837</v>
      </c>
      <c r="M75" s="110">
        <v>4061747.22</v>
      </c>
      <c r="N75" s="110">
        <v>4305452.0532000009</v>
      </c>
    </row>
    <row r="76" spans="1:15" x14ac:dyDescent="0.25">
      <c r="A76" s="109" t="s">
        <v>11</v>
      </c>
      <c r="B76" s="108" t="s">
        <v>129</v>
      </c>
      <c r="C76" s="109" t="s">
        <v>23</v>
      </c>
      <c r="D76" s="110">
        <v>400000</v>
      </c>
      <c r="F76" s="110">
        <v>106308.19</v>
      </c>
      <c r="G76" s="110">
        <v>0</v>
      </c>
      <c r="H76" s="110">
        <v>697407.95</v>
      </c>
      <c r="J76" s="110">
        <v>-297407.95</v>
      </c>
      <c r="K76" s="110">
        <v>174.35</v>
      </c>
      <c r="L76" s="110">
        <v>400000</v>
      </c>
      <c r="M76" s="110">
        <v>424000</v>
      </c>
      <c r="N76" s="110">
        <v>449440</v>
      </c>
    </row>
    <row r="77" spans="1:15" x14ac:dyDescent="0.25">
      <c r="A77" s="109" t="s">
        <v>11</v>
      </c>
      <c r="B77" s="108" t="s">
        <v>130</v>
      </c>
      <c r="C77" s="109" t="s">
        <v>25</v>
      </c>
      <c r="D77" s="110">
        <v>204638</v>
      </c>
      <c r="F77" s="110">
        <v>27706.39</v>
      </c>
      <c r="G77" s="110">
        <v>0</v>
      </c>
      <c r="H77" s="110">
        <v>220958.96</v>
      </c>
      <c r="J77" s="110">
        <v>-16320.96</v>
      </c>
      <c r="K77" s="110">
        <v>107.97</v>
      </c>
      <c r="L77" s="110">
        <v>204638</v>
      </c>
      <c r="M77" s="110">
        <v>216916.28</v>
      </c>
      <c r="N77" s="110">
        <v>229931.2568</v>
      </c>
    </row>
    <row r="78" spans="1:15" x14ac:dyDescent="0.25">
      <c r="A78" s="109" t="s">
        <v>11</v>
      </c>
      <c r="B78" s="108" t="s">
        <v>131</v>
      </c>
      <c r="C78" s="109" t="s">
        <v>27</v>
      </c>
      <c r="D78" s="110">
        <v>66536</v>
      </c>
      <c r="F78" s="110">
        <v>0</v>
      </c>
      <c r="G78" s="110">
        <v>0</v>
      </c>
      <c r="H78" s="110">
        <v>0</v>
      </c>
      <c r="J78" s="110">
        <v>66536</v>
      </c>
      <c r="K78" s="110">
        <v>0</v>
      </c>
      <c r="L78" s="110">
        <v>66536</v>
      </c>
      <c r="M78" s="110">
        <v>70528.160000000003</v>
      </c>
      <c r="N78" s="110">
        <v>74759.849600000001</v>
      </c>
    </row>
    <row r="79" spans="1:15" x14ac:dyDescent="0.25">
      <c r="A79" s="109" t="s">
        <v>11</v>
      </c>
      <c r="B79" s="108" t="s">
        <v>132</v>
      </c>
      <c r="C79" s="109" t="s">
        <v>29</v>
      </c>
      <c r="D79" s="110">
        <v>120294</v>
      </c>
      <c r="F79" s="110">
        <v>0</v>
      </c>
      <c r="G79" s="110">
        <v>0</v>
      </c>
      <c r="H79" s="110">
        <v>60000</v>
      </c>
      <c r="J79" s="110">
        <v>60294</v>
      </c>
      <c r="K79" s="110">
        <v>49.87</v>
      </c>
      <c r="L79" s="110">
        <v>120294</v>
      </c>
      <c r="M79" s="110">
        <v>127511.64</v>
      </c>
      <c r="N79" s="110">
        <v>135162.33840000001</v>
      </c>
    </row>
    <row r="80" spans="1:15" x14ac:dyDescent="0.25">
      <c r="A80" s="109" t="s">
        <v>11</v>
      </c>
      <c r="B80" s="108" t="s">
        <v>133</v>
      </c>
      <c r="C80" s="109" t="s">
        <v>31</v>
      </c>
      <c r="D80" s="110">
        <v>5258</v>
      </c>
      <c r="F80" s="110">
        <v>488.88</v>
      </c>
      <c r="G80" s="110">
        <v>0</v>
      </c>
      <c r="H80" s="110">
        <v>3618.72</v>
      </c>
      <c r="J80" s="110">
        <v>1639.28</v>
      </c>
      <c r="K80" s="110">
        <v>68.819999999999993</v>
      </c>
      <c r="L80" s="110">
        <v>5258</v>
      </c>
      <c r="M80" s="110">
        <v>5573.4800000000005</v>
      </c>
      <c r="N80" s="110">
        <v>5907.8888000000006</v>
      </c>
    </row>
    <row r="81" spans="1:14" x14ac:dyDescent="0.25">
      <c r="A81" s="109" t="s">
        <v>11</v>
      </c>
      <c r="B81" s="108" t="s">
        <v>134</v>
      </c>
      <c r="C81" s="109" t="s">
        <v>34</v>
      </c>
      <c r="D81" s="110">
        <v>145060</v>
      </c>
      <c r="F81" s="110">
        <v>12634.46</v>
      </c>
      <c r="G81" s="110">
        <v>0</v>
      </c>
      <c r="H81" s="110">
        <v>100322.7</v>
      </c>
      <c r="J81" s="110">
        <v>44737.3</v>
      </c>
      <c r="K81" s="110">
        <v>69.150000000000006</v>
      </c>
      <c r="L81" s="110">
        <v>145060</v>
      </c>
      <c r="M81" s="110">
        <v>153763.6</v>
      </c>
      <c r="N81" s="110">
        <v>162989.41600000003</v>
      </c>
    </row>
    <row r="82" spans="1:14" x14ac:dyDescent="0.25">
      <c r="A82" s="109" t="s">
        <v>11</v>
      </c>
      <c r="B82" s="108" t="s">
        <v>135</v>
      </c>
      <c r="C82" s="109" t="s">
        <v>36</v>
      </c>
      <c r="D82" s="110">
        <v>1270067</v>
      </c>
      <c r="F82" s="110">
        <v>104286.48</v>
      </c>
      <c r="G82" s="110">
        <v>0</v>
      </c>
      <c r="H82" s="110">
        <v>812064.72</v>
      </c>
      <c r="J82" s="110">
        <v>458002.28</v>
      </c>
      <c r="K82" s="110">
        <v>63.93</v>
      </c>
      <c r="L82" s="110">
        <v>1270067</v>
      </c>
      <c r="M82" s="110">
        <v>1346271.02</v>
      </c>
      <c r="N82" s="110">
        <v>1427047.2812000001</v>
      </c>
    </row>
    <row r="83" spans="1:14" x14ac:dyDescent="0.25">
      <c r="A83" s="109" t="s">
        <v>11</v>
      </c>
      <c r="B83" s="108" t="s">
        <v>136</v>
      </c>
      <c r="C83" s="109" t="s">
        <v>38</v>
      </c>
      <c r="D83" s="110">
        <v>3620764</v>
      </c>
      <c r="F83" s="110">
        <v>284932.51</v>
      </c>
      <c r="G83" s="110">
        <v>0</v>
      </c>
      <c r="H83" s="110">
        <v>2275182.75</v>
      </c>
      <c r="J83" s="110">
        <v>1345581.25</v>
      </c>
      <c r="K83" s="110">
        <v>62.83</v>
      </c>
      <c r="L83" s="110">
        <v>3620764</v>
      </c>
      <c r="M83" s="110">
        <v>3838009.8400000003</v>
      </c>
      <c r="N83" s="110">
        <v>4068290.4304000004</v>
      </c>
    </row>
    <row r="84" spans="1:14" x14ac:dyDescent="0.25">
      <c r="A84" s="109" t="s">
        <v>11</v>
      </c>
      <c r="B84" s="108" t="s">
        <v>137</v>
      </c>
      <c r="C84" s="109" t="s">
        <v>40</v>
      </c>
      <c r="D84" s="110">
        <v>87193</v>
      </c>
      <c r="F84" s="110">
        <v>6246.24</v>
      </c>
      <c r="G84" s="110">
        <v>0</v>
      </c>
      <c r="H84" s="110">
        <v>49969.919999999998</v>
      </c>
      <c r="J84" s="110">
        <v>37223.08</v>
      </c>
      <c r="K84" s="110">
        <v>57.3</v>
      </c>
      <c r="L84" s="110">
        <v>87193</v>
      </c>
      <c r="M84" s="110">
        <v>92424.58</v>
      </c>
      <c r="N84" s="110">
        <v>97970.054800000013</v>
      </c>
    </row>
    <row r="85" spans="1:14" x14ac:dyDescent="0.25">
      <c r="A85" s="109" t="s">
        <v>11</v>
      </c>
      <c r="B85" s="108" t="s">
        <v>138</v>
      </c>
      <c r="C85" s="109" t="s">
        <v>44</v>
      </c>
      <c r="D85" s="110">
        <v>134151</v>
      </c>
      <c r="F85" s="110">
        <v>0</v>
      </c>
      <c r="G85" s="110">
        <v>0</v>
      </c>
      <c r="H85" s="110">
        <v>36880.879999999997</v>
      </c>
      <c r="J85" s="110">
        <v>97270.12</v>
      </c>
      <c r="K85" s="110">
        <v>27.49</v>
      </c>
      <c r="L85" s="110">
        <v>134151</v>
      </c>
      <c r="M85" s="110">
        <v>142200.06</v>
      </c>
      <c r="N85" s="110">
        <v>150732.06359999999</v>
      </c>
    </row>
    <row r="86" spans="1:14" x14ac:dyDescent="0.25">
      <c r="A86" s="109" t="s">
        <v>11</v>
      </c>
      <c r="B86" s="108" t="s">
        <v>139</v>
      </c>
      <c r="C86" s="109" t="s">
        <v>716</v>
      </c>
      <c r="D86" s="110">
        <v>30772</v>
      </c>
      <c r="F86" s="110">
        <v>0</v>
      </c>
      <c r="G86" s="110">
        <v>0</v>
      </c>
      <c r="H86" s="110">
        <v>20605</v>
      </c>
      <c r="J86" s="110">
        <v>10167</v>
      </c>
      <c r="K86" s="110">
        <v>66.959999999999994</v>
      </c>
      <c r="L86" s="111">
        <v>150000</v>
      </c>
      <c r="M86" s="110">
        <v>250000</v>
      </c>
      <c r="N86" s="110">
        <v>350000</v>
      </c>
    </row>
    <row r="87" spans="1:14" x14ac:dyDescent="0.25">
      <c r="A87" s="109" t="s">
        <v>11</v>
      </c>
      <c r="B87" s="108" t="s">
        <v>140</v>
      </c>
      <c r="C87" s="109" t="s">
        <v>717</v>
      </c>
      <c r="D87" s="110">
        <v>48831</v>
      </c>
      <c r="F87" s="110">
        <v>0</v>
      </c>
      <c r="G87" s="110">
        <v>0</v>
      </c>
      <c r="H87" s="110">
        <v>30200</v>
      </c>
      <c r="J87" s="110">
        <v>18631</v>
      </c>
      <c r="K87" s="110">
        <v>61.84</v>
      </c>
      <c r="L87" s="111">
        <v>200000</v>
      </c>
      <c r="M87" s="110">
        <v>300000</v>
      </c>
      <c r="N87" s="110">
        <v>400000</v>
      </c>
    </row>
    <row r="88" spans="1:14" x14ac:dyDescent="0.25">
      <c r="A88" s="109" t="s">
        <v>11</v>
      </c>
      <c r="B88" s="108" t="s">
        <v>141</v>
      </c>
      <c r="C88" s="109" t="s">
        <v>718</v>
      </c>
      <c r="D88" s="110">
        <v>80138</v>
      </c>
      <c r="F88" s="110">
        <v>0</v>
      </c>
      <c r="G88" s="110">
        <v>0</v>
      </c>
      <c r="H88" s="110">
        <v>0</v>
      </c>
      <c r="J88" s="110">
        <v>80138</v>
      </c>
      <c r="K88" s="110">
        <v>0</v>
      </c>
      <c r="L88" s="111">
        <v>200000</v>
      </c>
      <c r="M88" s="110">
        <v>300000</v>
      </c>
      <c r="N88" s="110">
        <v>400000</v>
      </c>
    </row>
    <row r="89" spans="1:14" x14ac:dyDescent="0.25">
      <c r="A89" s="109" t="s">
        <v>11</v>
      </c>
      <c r="B89" s="108" t="s">
        <v>142</v>
      </c>
      <c r="C89" s="109" t="s">
        <v>719</v>
      </c>
      <c r="D89" s="110">
        <v>83795</v>
      </c>
      <c r="F89" s="110">
        <v>0</v>
      </c>
      <c r="G89" s="110">
        <v>0</v>
      </c>
      <c r="H89" s="110">
        <v>0</v>
      </c>
      <c r="J89" s="110">
        <v>83795</v>
      </c>
      <c r="K89" s="110">
        <v>0</v>
      </c>
      <c r="L89" s="111">
        <v>100000</v>
      </c>
      <c r="M89" s="110">
        <v>200000</v>
      </c>
      <c r="N89" s="110">
        <v>300000</v>
      </c>
    </row>
    <row r="90" spans="1:14" x14ac:dyDescent="0.25">
      <c r="A90" s="109" t="s">
        <v>11</v>
      </c>
      <c r="B90" s="108" t="s">
        <v>143</v>
      </c>
      <c r="C90" s="109" t="s">
        <v>720</v>
      </c>
      <c r="D90" s="110">
        <v>42135</v>
      </c>
      <c r="F90" s="110">
        <v>0</v>
      </c>
      <c r="G90" s="110">
        <v>0</v>
      </c>
      <c r="H90" s="110">
        <v>0</v>
      </c>
      <c r="J90" s="110">
        <v>42135</v>
      </c>
      <c r="K90" s="110">
        <v>0</v>
      </c>
      <c r="L90" s="111" t="s">
        <v>721</v>
      </c>
      <c r="M90" s="110">
        <v>200000</v>
      </c>
      <c r="N90" s="110">
        <v>300000</v>
      </c>
    </row>
    <row r="91" spans="1:14" x14ac:dyDescent="0.25">
      <c r="A91" s="109" t="s">
        <v>11</v>
      </c>
      <c r="B91" s="108" t="s">
        <v>144</v>
      </c>
      <c r="C91" s="109" t="s">
        <v>722</v>
      </c>
      <c r="D91" s="110">
        <v>274</v>
      </c>
      <c r="F91" s="110">
        <v>0</v>
      </c>
      <c r="G91" s="110">
        <v>0</v>
      </c>
      <c r="H91" s="110">
        <v>0</v>
      </c>
      <c r="J91" s="110">
        <v>274</v>
      </c>
      <c r="K91" s="110">
        <v>0</v>
      </c>
      <c r="L91" s="111">
        <v>150000</v>
      </c>
      <c r="M91" s="110">
        <v>250000</v>
      </c>
      <c r="N91" s="110">
        <v>350000</v>
      </c>
    </row>
    <row r="92" spans="1:14" x14ac:dyDescent="0.25">
      <c r="A92" s="109" t="s">
        <v>11</v>
      </c>
      <c r="B92" s="108" t="s">
        <v>145</v>
      </c>
      <c r="C92" s="109" t="s">
        <v>723</v>
      </c>
      <c r="D92" s="110">
        <v>35038</v>
      </c>
      <c r="F92" s="110">
        <v>0</v>
      </c>
      <c r="G92" s="110">
        <v>8760</v>
      </c>
      <c r="H92" s="110">
        <v>5890</v>
      </c>
      <c r="J92" s="110">
        <v>29148</v>
      </c>
      <c r="K92" s="110">
        <v>16.809999999999999</v>
      </c>
      <c r="L92" s="111">
        <v>100000</v>
      </c>
      <c r="M92" s="110">
        <v>200000</v>
      </c>
      <c r="N92" s="110">
        <v>300000</v>
      </c>
    </row>
    <row r="93" spans="1:14" x14ac:dyDescent="0.25">
      <c r="A93" s="109" t="s">
        <v>11</v>
      </c>
      <c r="B93" s="108" t="s">
        <v>146</v>
      </c>
      <c r="C93" s="109" t="s">
        <v>724</v>
      </c>
      <c r="D93" s="110">
        <v>51720</v>
      </c>
      <c r="F93" s="110">
        <v>0</v>
      </c>
      <c r="G93" s="110">
        <v>0</v>
      </c>
      <c r="H93" s="110">
        <v>40896</v>
      </c>
      <c r="J93" s="110">
        <v>10824</v>
      </c>
      <c r="K93" s="110">
        <v>79.069999999999993</v>
      </c>
      <c r="L93" s="111">
        <v>100000</v>
      </c>
      <c r="M93" s="110">
        <v>200000</v>
      </c>
      <c r="N93" s="110">
        <v>300000</v>
      </c>
    </row>
    <row r="94" spans="1:14" x14ac:dyDescent="0.25">
      <c r="B94" s="108" t="s">
        <v>146</v>
      </c>
      <c r="C94" s="109" t="s">
        <v>725</v>
      </c>
      <c r="L94" s="111">
        <v>200000</v>
      </c>
      <c r="M94" s="110">
        <v>350000</v>
      </c>
      <c r="N94" s="110">
        <v>550000</v>
      </c>
    </row>
    <row r="95" spans="1:14" x14ac:dyDescent="0.25">
      <c r="B95" s="108" t="s">
        <v>146</v>
      </c>
      <c r="C95" s="109" t="s">
        <v>726</v>
      </c>
      <c r="L95" s="111">
        <v>400000</v>
      </c>
      <c r="M95" s="110">
        <v>600000</v>
      </c>
      <c r="N95" s="110">
        <v>700000</v>
      </c>
    </row>
    <row r="96" spans="1:14" x14ac:dyDescent="0.25">
      <c r="B96" s="108" t="s">
        <v>146</v>
      </c>
      <c r="C96" s="109" t="s">
        <v>727</v>
      </c>
      <c r="L96" s="111">
        <v>150000</v>
      </c>
      <c r="M96" s="110">
        <v>350000</v>
      </c>
      <c r="N96" s="110">
        <v>500000</v>
      </c>
    </row>
    <row r="97" spans="1:14" x14ac:dyDescent="0.25">
      <c r="B97" s="108" t="s">
        <v>146</v>
      </c>
      <c r="C97" s="109" t="s">
        <v>824</v>
      </c>
      <c r="L97" s="111">
        <v>100000</v>
      </c>
      <c r="M97" s="110">
        <v>200000</v>
      </c>
      <c r="N97" s="110">
        <v>300000</v>
      </c>
    </row>
    <row r="98" spans="1:14" x14ac:dyDescent="0.25">
      <c r="A98" s="109" t="s">
        <v>11</v>
      </c>
      <c r="B98" s="108" t="s">
        <v>147</v>
      </c>
      <c r="C98" s="109" t="s">
        <v>728</v>
      </c>
      <c r="D98" s="110">
        <v>206195</v>
      </c>
      <c r="F98" s="110">
        <v>0</v>
      </c>
      <c r="G98" s="110">
        <v>6120</v>
      </c>
      <c r="H98" s="110">
        <v>131364</v>
      </c>
      <c r="J98" s="110">
        <v>74831</v>
      </c>
      <c r="K98" s="110">
        <v>63.7</v>
      </c>
      <c r="L98" s="111">
        <v>200000</v>
      </c>
      <c r="M98" s="110">
        <v>300000</v>
      </c>
      <c r="N98" s="110">
        <v>400000</v>
      </c>
    </row>
    <row r="99" spans="1:14" x14ac:dyDescent="0.25">
      <c r="A99" s="109" t="s">
        <v>11</v>
      </c>
      <c r="B99" s="108" t="s">
        <v>148</v>
      </c>
      <c r="C99" s="109" t="s">
        <v>729</v>
      </c>
      <c r="D99" s="110">
        <v>0</v>
      </c>
      <c r="F99" s="110">
        <v>0</v>
      </c>
      <c r="G99" s="110">
        <v>0</v>
      </c>
      <c r="H99" s="110">
        <v>0</v>
      </c>
      <c r="J99" s="110">
        <v>0</v>
      </c>
      <c r="K99" s="110">
        <v>0</v>
      </c>
      <c r="L99" s="111">
        <v>600000</v>
      </c>
      <c r="M99" s="110">
        <v>700000</v>
      </c>
      <c r="N99" s="110">
        <v>800000</v>
      </c>
    </row>
    <row r="100" spans="1:14" x14ac:dyDescent="0.25">
      <c r="A100" s="109" t="s">
        <v>11</v>
      </c>
      <c r="B100" s="108" t="s">
        <v>149</v>
      </c>
      <c r="C100" s="109" t="s">
        <v>150</v>
      </c>
      <c r="D100" s="110">
        <v>24749</v>
      </c>
      <c r="F100" s="110">
        <v>0</v>
      </c>
      <c r="G100" s="110">
        <v>0</v>
      </c>
      <c r="H100" s="110">
        <v>0</v>
      </c>
      <c r="J100" s="110">
        <v>24749</v>
      </c>
      <c r="K100" s="110">
        <v>0</v>
      </c>
      <c r="L100" s="111">
        <v>100000</v>
      </c>
      <c r="M100" s="110">
        <v>200000</v>
      </c>
      <c r="N100" s="110">
        <v>300000</v>
      </c>
    </row>
    <row r="101" spans="1:14" x14ac:dyDescent="0.25">
      <c r="A101" s="109" t="s">
        <v>11</v>
      </c>
      <c r="B101" s="108" t="s">
        <v>151</v>
      </c>
      <c r="C101" s="109" t="s">
        <v>96</v>
      </c>
      <c r="D101" s="110">
        <v>137189</v>
      </c>
      <c r="F101" s="110">
        <v>0</v>
      </c>
      <c r="G101" s="110">
        <v>0</v>
      </c>
      <c r="H101" s="110">
        <v>0</v>
      </c>
      <c r="J101" s="110">
        <v>137189</v>
      </c>
      <c r="K101" s="110">
        <v>0</v>
      </c>
      <c r="L101" s="111">
        <v>500000</v>
      </c>
      <c r="M101" s="110">
        <v>700000</v>
      </c>
      <c r="N101" s="110">
        <v>800000</v>
      </c>
    </row>
    <row r="102" spans="1:14" x14ac:dyDescent="0.25">
      <c r="A102" s="109" t="s">
        <v>11</v>
      </c>
      <c r="B102" s="108" t="s">
        <v>152</v>
      </c>
      <c r="C102" s="109" t="s">
        <v>153</v>
      </c>
      <c r="D102" s="110">
        <v>735724</v>
      </c>
      <c r="F102" s="110">
        <v>0</v>
      </c>
      <c r="G102" s="110">
        <v>0</v>
      </c>
      <c r="H102" s="110">
        <v>27450</v>
      </c>
      <c r="J102" s="110">
        <v>708274</v>
      </c>
      <c r="K102" s="110">
        <v>3.73</v>
      </c>
      <c r="L102" s="111">
        <v>500000</v>
      </c>
      <c r="M102" s="110">
        <v>700000</v>
      </c>
      <c r="N102" s="110">
        <v>900000</v>
      </c>
    </row>
    <row r="103" spans="1:14" x14ac:dyDescent="0.25">
      <c r="A103" s="109" t="s">
        <v>11</v>
      </c>
      <c r="B103" s="108" t="s">
        <v>154</v>
      </c>
      <c r="C103" s="109" t="s">
        <v>155</v>
      </c>
      <c r="D103" s="110">
        <v>442973</v>
      </c>
      <c r="F103" s="110">
        <v>28854.9</v>
      </c>
      <c r="G103" s="110">
        <v>105907.95</v>
      </c>
      <c r="H103" s="110">
        <v>241646.12</v>
      </c>
      <c r="J103" s="110">
        <v>201326.88</v>
      </c>
      <c r="K103" s="110">
        <v>54.55</v>
      </c>
      <c r="L103" s="111">
        <v>500000</v>
      </c>
      <c r="M103" s="110">
        <v>600000</v>
      </c>
      <c r="N103" s="110">
        <v>700000</v>
      </c>
    </row>
    <row r="104" spans="1:14" x14ac:dyDescent="0.25">
      <c r="A104" s="109" t="s">
        <v>11</v>
      </c>
      <c r="B104" s="108" t="s">
        <v>156</v>
      </c>
      <c r="C104" s="109" t="s">
        <v>157</v>
      </c>
      <c r="D104" s="110">
        <v>171688</v>
      </c>
      <c r="F104" s="110">
        <v>0</v>
      </c>
      <c r="G104" s="110">
        <v>0</v>
      </c>
      <c r="H104" s="110">
        <v>0</v>
      </c>
      <c r="J104" s="110">
        <v>171688</v>
      </c>
      <c r="K104" s="110">
        <v>0</v>
      </c>
      <c r="L104" s="111">
        <v>200000</v>
      </c>
      <c r="M104" s="110">
        <v>300000</v>
      </c>
      <c r="N104" s="110">
        <v>400000</v>
      </c>
    </row>
    <row r="105" spans="1:14" x14ac:dyDescent="0.25">
      <c r="A105" s="109" t="s">
        <v>11</v>
      </c>
      <c r="B105" s="108" t="s">
        <v>158</v>
      </c>
      <c r="C105" s="109" t="s">
        <v>159</v>
      </c>
      <c r="D105" s="110">
        <v>148595</v>
      </c>
      <c r="F105" s="110">
        <v>0</v>
      </c>
      <c r="G105" s="110">
        <v>4173.91</v>
      </c>
      <c r="H105" s="110">
        <v>20817.09</v>
      </c>
      <c r="J105" s="110">
        <v>127777.91</v>
      </c>
      <c r="K105" s="110">
        <v>14</v>
      </c>
      <c r="L105" s="111">
        <v>400000</v>
      </c>
      <c r="M105" s="110">
        <v>500000</v>
      </c>
      <c r="N105" s="110">
        <v>600000</v>
      </c>
    </row>
    <row r="106" spans="1:14" x14ac:dyDescent="0.25">
      <c r="A106" s="109" t="s">
        <v>11</v>
      </c>
      <c r="B106" s="108" t="s">
        <v>160</v>
      </c>
      <c r="C106" s="109" t="s">
        <v>825</v>
      </c>
      <c r="D106" s="110">
        <v>100330</v>
      </c>
      <c r="F106" s="110">
        <v>0</v>
      </c>
      <c r="G106" s="110">
        <v>0</v>
      </c>
      <c r="H106" s="110">
        <v>0</v>
      </c>
      <c r="J106" s="110">
        <v>100330</v>
      </c>
      <c r="K106" s="110">
        <v>0</v>
      </c>
      <c r="L106" s="111">
        <v>150000</v>
      </c>
      <c r="M106" s="110">
        <v>250000</v>
      </c>
      <c r="N106" s="110">
        <v>350000</v>
      </c>
    </row>
    <row r="107" spans="1:14" x14ac:dyDescent="0.25">
      <c r="A107" s="109" t="s">
        <v>11</v>
      </c>
      <c r="B107" s="108" t="s">
        <v>161</v>
      </c>
      <c r="C107" s="109" t="s">
        <v>730</v>
      </c>
      <c r="D107" s="110">
        <v>21695</v>
      </c>
      <c r="F107" s="110">
        <v>0</v>
      </c>
      <c r="G107" s="110">
        <v>0</v>
      </c>
      <c r="H107" s="110">
        <v>0</v>
      </c>
      <c r="J107" s="110">
        <v>21695</v>
      </c>
      <c r="K107" s="110">
        <v>0</v>
      </c>
      <c r="L107" s="111">
        <v>300000</v>
      </c>
      <c r="M107" s="110">
        <v>400000</v>
      </c>
      <c r="N107" s="110">
        <v>450000</v>
      </c>
    </row>
    <row r="108" spans="1:14" x14ac:dyDescent="0.25">
      <c r="B108" s="108" t="s">
        <v>161</v>
      </c>
      <c r="C108" s="109" t="s">
        <v>731</v>
      </c>
      <c r="L108" s="111">
        <v>100000</v>
      </c>
      <c r="M108" s="110">
        <v>200000</v>
      </c>
      <c r="N108" s="110">
        <v>300000</v>
      </c>
    </row>
    <row r="109" spans="1:14" x14ac:dyDescent="0.25">
      <c r="B109" s="108" t="s">
        <v>161</v>
      </c>
      <c r="C109" s="109" t="s">
        <v>732</v>
      </c>
      <c r="L109" s="111">
        <v>150000</v>
      </c>
      <c r="M109" s="110">
        <v>250000</v>
      </c>
      <c r="N109" s="110">
        <v>350000</v>
      </c>
    </row>
    <row r="110" spans="1:14" x14ac:dyDescent="0.25">
      <c r="B110" s="108" t="s">
        <v>161</v>
      </c>
      <c r="C110" s="109" t="s">
        <v>733</v>
      </c>
      <c r="L110" s="111">
        <v>300000</v>
      </c>
      <c r="M110" s="110">
        <v>400000</v>
      </c>
      <c r="N110" s="110">
        <v>500000</v>
      </c>
    </row>
    <row r="111" spans="1:14" x14ac:dyDescent="0.25">
      <c r="B111" s="108" t="s">
        <v>161</v>
      </c>
      <c r="C111" s="109" t="s">
        <v>826</v>
      </c>
      <c r="L111" s="111">
        <v>300000</v>
      </c>
      <c r="M111" s="110">
        <v>400000</v>
      </c>
      <c r="N111" s="110" t="s">
        <v>924</v>
      </c>
    </row>
    <row r="112" spans="1:14" x14ac:dyDescent="0.25">
      <c r="B112" s="108" t="s">
        <v>161</v>
      </c>
      <c r="C112" s="109" t="s">
        <v>734</v>
      </c>
      <c r="L112" s="111">
        <v>500000</v>
      </c>
      <c r="M112" s="110">
        <v>600000</v>
      </c>
      <c r="N112" s="110">
        <v>700000</v>
      </c>
    </row>
    <row r="113" spans="1:14" x14ac:dyDescent="0.25">
      <c r="B113" s="108" t="s">
        <v>161</v>
      </c>
      <c r="C113" s="109" t="s">
        <v>735</v>
      </c>
      <c r="L113" s="111">
        <v>350000</v>
      </c>
      <c r="M113" s="110">
        <v>450000</v>
      </c>
      <c r="N113" s="110">
        <v>550000</v>
      </c>
    </row>
    <row r="114" spans="1:14" x14ac:dyDescent="0.25">
      <c r="B114" s="108" t="s">
        <v>161</v>
      </c>
      <c r="C114" s="109" t="s">
        <v>827</v>
      </c>
      <c r="L114" s="111">
        <v>600000</v>
      </c>
      <c r="M114" s="110">
        <v>800000</v>
      </c>
      <c r="N114" s="110">
        <v>900000</v>
      </c>
    </row>
    <row r="115" spans="1:14" x14ac:dyDescent="0.25">
      <c r="A115" s="109" t="s">
        <v>11</v>
      </c>
      <c r="B115" s="108" t="s">
        <v>162</v>
      </c>
      <c r="C115" s="109" t="s">
        <v>828</v>
      </c>
      <c r="D115" s="110">
        <v>137189</v>
      </c>
      <c r="F115" s="110">
        <v>0</v>
      </c>
      <c r="G115" s="110">
        <v>0</v>
      </c>
      <c r="H115" s="110">
        <v>0</v>
      </c>
      <c r="J115" s="110">
        <v>137189</v>
      </c>
      <c r="K115" s="110">
        <v>0</v>
      </c>
      <c r="L115" s="111">
        <v>200000</v>
      </c>
      <c r="M115" s="110">
        <v>400000</v>
      </c>
      <c r="N115" s="110">
        <v>500000</v>
      </c>
    </row>
    <row r="116" spans="1:14" x14ac:dyDescent="0.25">
      <c r="A116" s="109" t="s">
        <v>11</v>
      </c>
      <c r="B116" s="108" t="s">
        <v>163</v>
      </c>
      <c r="C116" s="109" t="s">
        <v>107</v>
      </c>
      <c r="D116" s="110">
        <v>248000</v>
      </c>
      <c r="F116" s="110">
        <v>22289.06</v>
      </c>
      <c r="G116" s="110">
        <v>0</v>
      </c>
      <c r="H116" s="110">
        <v>122172.42</v>
      </c>
      <c r="J116" s="110">
        <v>125827.58</v>
      </c>
      <c r="K116" s="110">
        <v>49.26</v>
      </c>
      <c r="L116" s="111">
        <v>200000</v>
      </c>
      <c r="M116" s="110">
        <v>400000</v>
      </c>
      <c r="N116" s="110">
        <v>500000</v>
      </c>
    </row>
    <row r="117" spans="1:14" x14ac:dyDescent="0.25">
      <c r="A117" s="109" t="s">
        <v>11</v>
      </c>
      <c r="B117" s="108" t="s">
        <v>164</v>
      </c>
      <c r="C117" s="109" t="s">
        <v>736</v>
      </c>
      <c r="D117" s="110">
        <v>205784</v>
      </c>
      <c r="F117" s="110">
        <v>0</v>
      </c>
      <c r="G117" s="110">
        <v>1357</v>
      </c>
      <c r="H117" s="110">
        <v>20768</v>
      </c>
      <c r="J117" s="110">
        <v>185016</v>
      </c>
      <c r="K117" s="110">
        <v>10.09</v>
      </c>
      <c r="L117" s="111">
        <v>300000</v>
      </c>
      <c r="M117" s="110">
        <v>500000</v>
      </c>
      <c r="N117" s="110">
        <v>600000</v>
      </c>
    </row>
    <row r="118" spans="1:14" x14ac:dyDescent="0.25">
      <c r="A118" s="109" t="s">
        <v>11</v>
      </c>
      <c r="B118" s="108" t="s">
        <v>165</v>
      </c>
      <c r="C118" s="109" t="s">
        <v>111</v>
      </c>
      <c r="D118" s="110">
        <v>137189</v>
      </c>
      <c r="F118" s="110">
        <v>0</v>
      </c>
      <c r="G118" s="110">
        <v>21865.4</v>
      </c>
      <c r="H118" s="110">
        <v>5910.26</v>
      </c>
      <c r="J118" s="110">
        <v>131278.74</v>
      </c>
      <c r="K118" s="110">
        <v>4.3</v>
      </c>
      <c r="L118" s="111">
        <v>200000</v>
      </c>
      <c r="M118" s="110">
        <v>400000</v>
      </c>
      <c r="N118" s="110">
        <v>500000</v>
      </c>
    </row>
    <row r="119" spans="1:14" x14ac:dyDescent="0.25">
      <c r="A119" s="109" t="s">
        <v>11</v>
      </c>
      <c r="B119" s="108" t="s">
        <v>166</v>
      </c>
      <c r="C119" s="109" t="s">
        <v>167</v>
      </c>
      <c r="D119" s="110">
        <v>102892</v>
      </c>
      <c r="F119" s="110">
        <v>0</v>
      </c>
      <c r="G119" s="110">
        <v>0</v>
      </c>
      <c r="H119" s="110">
        <v>0</v>
      </c>
      <c r="J119" s="110">
        <v>102892</v>
      </c>
      <c r="K119" s="110">
        <v>0</v>
      </c>
      <c r="L119" s="111">
        <v>100000</v>
      </c>
      <c r="M119" s="110">
        <v>300000</v>
      </c>
      <c r="N119" s="110">
        <v>400000</v>
      </c>
    </row>
    <row r="120" spans="1:14" x14ac:dyDescent="0.25">
      <c r="A120" s="109" t="s">
        <v>11</v>
      </c>
      <c r="B120" s="108" t="s">
        <v>168</v>
      </c>
      <c r="C120" s="109" t="s">
        <v>169</v>
      </c>
      <c r="D120" s="110">
        <v>61607</v>
      </c>
      <c r="F120" s="110">
        <v>0</v>
      </c>
      <c r="G120" s="110">
        <v>0</v>
      </c>
      <c r="H120" s="110">
        <v>0</v>
      </c>
      <c r="J120" s="110">
        <v>61607</v>
      </c>
      <c r="K120" s="110">
        <v>0</v>
      </c>
      <c r="L120" s="111">
        <v>200000</v>
      </c>
      <c r="M120" s="110">
        <v>300000</v>
      </c>
      <c r="N120" s="110">
        <v>400000</v>
      </c>
    </row>
    <row r="121" spans="1:14" x14ac:dyDescent="0.25">
      <c r="A121" s="112"/>
      <c r="B121" s="113"/>
      <c r="C121" s="112" t="s">
        <v>680</v>
      </c>
      <c r="D121" s="114">
        <v>32099595</v>
      </c>
      <c r="E121" s="114">
        <v>0</v>
      </c>
      <c r="F121" s="114">
        <v>2818589.6900000004</v>
      </c>
      <c r="G121" s="114">
        <v>148184.26</v>
      </c>
      <c r="H121" s="114">
        <v>20972236.260000002</v>
      </c>
      <c r="I121" s="114">
        <v>0</v>
      </c>
      <c r="J121" s="114">
        <v>11127358.74</v>
      </c>
      <c r="K121" s="114">
        <v>1414.2499999999995</v>
      </c>
      <c r="L121" s="114">
        <v>38753120.379999995</v>
      </c>
      <c r="M121" s="114">
        <f>SUM(M71:M120)</f>
        <v>45200307.602799997</v>
      </c>
      <c r="N121" s="114">
        <v>49905326.058968008</v>
      </c>
    </row>
    <row r="122" spans="1:14" x14ac:dyDescent="0.25">
      <c r="B122" s="108"/>
    </row>
    <row r="123" spans="1:14" x14ac:dyDescent="0.25">
      <c r="A123" s="109" t="s">
        <v>11</v>
      </c>
      <c r="B123" s="108" t="s">
        <v>170</v>
      </c>
      <c r="C123" s="109" t="s">
        <v>171</v>
      </c>
      <c r="D123" s="110">
        <v>1260541</v>
      </c>
      <c r="F123" s="110">
        <v>102485.33</v>
      </c>
      <c r="G123" s="110">
        <v>0</v>
      </c>
      <c r="H123" s="110">
        <v>599301.31000000006</v>
      </c>
      <c r="J123" s="110">
        <v>661239.68999999994</v>
      </c>
      <c r="K123" s="110">
        <v>47.54</v>
      </c>
      <c r="L123" s="111">
        <f>D123*1.06</f>
        <v>1336173.46</v>
      </c>
      <c r="M123" s="110">
        <f>L123*1.06</f>
        <v>1416343.8676</v>
      </c>
      <c r="N123" s="110">
        <f>M123*1.06</f>
        <v>1501324.4996560002</v>
      </c>
    </row>
    <row r="124" spans="1:14" x14ac:dyDescent="0.25">
      <c r="A124" s="109" t="s">
        <v>11</v>
      </c>
      <c r="B124" s="108" t="s">
        <v>172</v>
      </c>
      <c r="C124" s="109" t="s">
        <v>173</v>
      </c>
      <c r="D124" s="110">
        <v>31875</v>
      </c>
      <c r="F124" s="110">
        <v>2600</v>
      </c>
      <c r="G124" s="110">
        <v>0</v>
      </c>
      <c r="H124" s="110">
        <v>15600</v>
      </c>
      <c r="J124" s="110">
        <v>16275</v>
      </c>
      <c r="K124" s="110">
        <v>48.94</v>
      </c>
      <c r="L124" s="111">
        <f t="shared" ref="L124:L141" si="6">D124*1.06</f>
        <v>33787.5</v>
      </c>
      <c r="M124" s="110">
        <f t="shared" ref="M124:N141" si="7">L124*1.06</f>
        <v>35814.75</v>
      </c>
      <c r="N124" s="110">
        <f t="shared" si="7"/>
        <v>37963.635000000002</v>
      </c>
    </row>
    <row r="125" spans="1:14" x14ac:dyDescent="0.25">
      <c r="A125" s="109" t="s">
        <v>11</v>
      </c>
      <c r="B125" s="108" t="s">
        <v>174</v>
      </c>
      <c r="C125" s="109" t="s">
        <v>175</v>
      </c>
      <c r="D125" s="110">
        <v>255000</v>
      </c>
      <c r="F125" s="110">
        <v>10000</v>
      </c>
      <c r="G125" s="110">
        <v>0</v>
      </c>
      <c r="H125" s="110">
        <v>60000</v>
      </c>
      <c r="J125" s="110">
        <v>195000</v>
      </c>
      <c r="K125" s="110">
        <v>23.52</v>
      </c>
      <c r="L125" s="111">
        <f t="shared" si="6"/>
        <v>270300</v>
      </c>
      <c r="M125" s="110">
        <f t="shared" si="7"/>
        <v>286518</v>
      </c>
      <c r="N125" s="110">
        <f t="shared" si="7"/>
        <v>303709.08</v>
      </c>
    </row>
    <row r="126" spans="1:14" x14ac:dyDescent="0.25">
      <c r="A126" s="109" t="s">
        <v>11</v>
      </c>
      <c r="B126" s="108" t="s">
        <v>176</v>
      </c>
      <c r="C126" s="109" t="s">
        <v>177</v>
      </c>
      <c r="D126" s="110">
        <v>167875</v>
      </c>
      <c r="F126" s="110">
        <v>0</v>
      </c>
      <c r="G126" s="110">
        <v>0</v>
      </c>
      <c r="H126" s="110">
        <v>15637.44</v>
      </c>
      <c r="J126" s="110">
        <v>152237.56</v>
      </c>
      <c r="K126" s="110">
        <v>9.31</v>
      </c>
      <c r="L126" s="111">
        <f t="shared" si="6"/>
        <v>177947.5</v>
      </c>
      <c r="M126" s="110">
        <f t="shared" si="7"/>
        <v>188624.35</v>
      </c>
      <c r="N126" s="110">
        <f t="shared" si="7"/>
        <v>199941.81100000002</v>
      </c>
    </row>
    <row r="127" spans="1:14" x14ac:dyDescent="0.25">
      <c r="A127" s="109" t="s">
        <v>11</v>
      </c>
      <c r="B127" s="108" t="s">
        <v>178</v>
      </c>
      <c r="C127" s="109" t="s">
        <v>179</v>
      </c>
      <c r="D127" s="110">
        <v>0</v>
      </c>
      <c r="F127" s="110">
        <v>148.72</v>
      </c>
      <c r="G127" s="110">
        <v>0</v>
      </c>
      <c r="H127" s="110">
        <v>1041.04</v>
      </c>
      <c r="J127" s="110">
        <v>-1041.04</v>
      </c>
      <c r="K127" s="110">
        <v>0</v>
      </c>
      <c r="L127" s="111">
        <f t="shared" si="6"/>
        <v>0</v>
      </c>
      <c r="M127" s="110">
        <f t="shared" si="7"/>
        <v>0</v>
      </c>
      <c r="N127" s="110">
        <f t="shared" si="7"/>
        <v>0</v>
      </c>
    </row>
    <row r="128" spans="1:14" x14ac:dyDescent="0.25">
      <c r="A128" s="109" t="s">
        <v>11</v>
      </c>
      <c r="B128" s="108" t="s">
        <v>180</v>
      </c>
      <c r="C128" s="109" t="s">
        <v>13</v>
      </c>
      <c r="D128" s="110">
        <v>12829736</v>
      </c>
      <c r="F128" s="110">
        <v>809531.01</v>
      </c>
      <c r="G128" s="110">
        <v>0</v>
      </c>
      <c r="H128" s="110">
        <v>6481236.3899999997</v>
      </c>
      <c r="J128" s="110">
        <v>6348499.6100000003</v>
      </c>
      <c r="K128" s="110">
        <v>50.51</v>
      </c>
      <c r="L128" s="111">
        <f t="shared" si="6"/>
        <v>13599520.16</v>
      </c>
      <c r="M128" s="110">
        <f t="shared" si="7"/>
        <v>14415491.369600002</v>
      </c>
      <c r="N128" s="110">
        <f t="shared" si="7"/>
        <v>15280420.851776002</v>
      </c>
    </row>
    <row r="129" spans="1:14" x14ac:dyDescent="0.25">
      <c r="A129" s="109" t="s">
        <v>11</v>
      </c>
      <c r="B129" s="108" t="s">
        <v>181</v>
      </c>
      <c r="C129" s="109" t="s">
        <v>15</v>
      </c>
      <c r="D129" s="110">
        <v>176586</v>
      </c>
      <c r="F129" s="110">
        <v>5796</v>
      </c>
      <c r="G129" s="110">
        <v>0</v>
      </c>
      <c r="H129" s="110">
        <v>47967</v>
      </c>
      <c r="J129" s="110">
        <v>128619</v>
      </c>
      <c r="K129" s="110">
        <v>27.16</v>
      </c>
      <c r="L129" s="111">
        <f t="shared" si="6"/>
        <v>187181.16</v>
      </c>
      <c r="M129" s="110">
        <f t="shared" si="7"/>
        <v>198412.02960000001</v>
      </c>
      <c r="N129" s="110">
        <f t="shared" si="7"/>
        <v>210316.75137600003</v>
      </c>
    </row>
    <row r="130" spans="1:14" x14ac:dyDescent="0.25">
      <c r="A130" s="109" t="s">
        <v>11</v>
      </c>
      <c r="B130" s="108" t="s">
        <v>182</v>
      </c>
      <c r="C130" s="109" t="s">
        <v>17</v>
      </c>
      <c r="D130" s="110">
        <v>50000</v>
      </c>
      <c r="F130" s="110">
        <v>3858.04</v>
      </c>
      <c r="G130" s="110">
        <v>0</v>
      </c>
      <c r="H130" s="110">
        <v>30864.32</v>
      </c>
      <c r="J130" s="110">
        <v>19135.68</v>
      </c>
      <c r="K130" s="110">
        <v>61.72</v>
      </c>
      <c r="L130" s="111">
        <f t="shared" si="6"/>
        <v>53000</v>
      </c>
      <c r="M130" s="110">
        <f t="shared" si="7"/>
        <v>56180</v>
      </c>
      <c r="N130" s="110">
        <f t="shared" si="7"/>
        <v>59550.8</v>
      </c>
    </row>
    <row r="131" spans="1:14" x14ac:dyDescent="0.25">
      <c r="A131" s="109" t="s">
        <v>11</v>
      </c>
      <c r="B131" s="108" t="s">
        <v>183</v>
      </c>
      <c r="C131" s="109" t="s">
        <v>19</v>
      </c>
      <c r="D131" s="110">
        <v>196194</v>
      </c>
      <c r="F131" s="110">
        <v>0</v>
      </c>
      <c r="G131" s="110">
        <v>0</v>
      </c>
      <c r="H131" s="110">
        <v>26463.24</v>
      </c>
      <c r="J131" s="110">
        <v>169730.76</v>
      </c>
      <c r="K131" s="110">
        <v>13.48</v>
      </c>
      <c r="L131" s="111">
        <f t="shared" si="6"/>
        <v>207965.64</v>
      </c>
      <c r="M131" s="110">
        <f t="shared" si="7"/>
        <v>220443.57840000003</v>
      </c>
      <c r="N131" s="110">
        <f t="shared" si="7"/>
        <v>233670.19310400003</v>
      </c>
    </row>
    <row r="132" spans="1:14" x14ac:dyDescent="0.25">
      <c r="A132" s="109" t="s">
        <v>11</v>
      </c>
      <c r="B132" s="108" t="s">
        <v>184</v>
      </c>
      <c r="C132" s="109" t="s">
        <v>21</v>
      </c>
      <c r="D132" s="110">
        <v>1398925</v>
      </c>
      <c r="F132" s="110">
        <v>60299.67</v>
      </c>
      <c r="G132" s="110">
        <v>0</v>
      </c>
      <c r="H132" s="110">
        <v>616884.21</v>
      </c>
      <c r="J132" s="110">
        <v>782040.79</v>
      </c>
      <c r="K132" s="110">
        <v>44.09</v>
      </c>
      <c r="L132" s="111">
        <f t="shared" si="6"/>
        <v>1482860.5</v>
      </c>
      <c r="M132" s="110">
        <f t="shared" si="7"/>
        <v>1571832.1300000001</v>
      </c>
      <c r="N132" s="110">
        <f t="shared" si="7"/>
        <v>1666142.0578000003</v>
      </c>
    </row>
    <row r="133" spans="1:14" x14ac:dyDescent="0.25">
      <c r="A133" s="109" t="s">
        <v>11</v>
      </c>
      <c r="B133" s="108" t="s">
        <v>185</v>
      </c>
      <c r="C133" s="109" t="s">
        <v>23</v>
      </c>
      <c r="D133" s="110">
        <v>54570</v>
      </c>
      <c r="F133" s="110">
        <v>0</v>
      </c>
      <c r="G133" s="110">
        <v>0</v>
      </c>
      <c r="H133" s="110">
        <v>0</v>
      </c>
      <c r="J133" s="110">
        <v>54570</v>
      </c>
      <c r="K133" s="110">
        <v>0</v>
      </c>
      <c r="L133" s="111">
        <f t="shared" si="6"/>
        <v>57844.200000000004</v>
      </c>
      <c r="M133" s="110">
        <f t="shared" si="7"/>
        <v>61314.852000000006</v>
      </c>
      <c r="N133" s="110">
        <f t="shared" si="7"/>
        <v>64993.743120000006</v>
      </c>
    </row>
    <row r="134" spans="1:14" x14ac:dyDescent="0.25">
      <c r="A134" s="109" t="s">
        <v>11</v>
      </c>
      <c r="B134" s="108" t="s">
        <v>186</v>
      </c>
      <c r="C134" s="109" t="s">
        <v>27</v>
      </c>
      <c r="D134" s="110">
        <v>910</v>
      </c>
      <c r="F134" s="110">
        <v>0</v>
      </c>
      <c r="G134" s="110">
        <v>0</v>
      </c>
      <c r="H134" s="110">
        <v>0</v>
      </c>
      <c r="J134" s="110">
        <v>910</v>
      </c>
      <c r="K134" s="110">
        <v>0</v>
      </c>
      <c r="L134" s="111">
        <f t="shared" si="6"/>
        <v>964.6</v>
      </c>
      <c r="M134" s="110">
        <f t="shared" si="7"/>
        <v>1022.4760000000001</v>
      </c>
      <c r="N134" s="110">
        <f t="shared" si="7"/>
        <v>1083.8245600000002</v>
      </c>
    </row>
    <row r="135" spans="1:14" x14ac:dyDescent="0.25">
      <c r="A135" s="109" t="s">
        <v>11</v>
      </c>
      <c r="B135" s="108" t="s">
        <v>187</v>
      </c>
      <c r="C135" s="109" t="s">
        <v>31</v>
      </c>
      <c r="D135" s="110">
        <v>2512</v>
      </c>
      <c r="F135" s="110">
        <v>174.6</v>
      </c>
      <c r="G135" s="110">
        <v>0</v>
      </c>
      <c r="H135" s="110">
        <v>1283.08</v>
      </c>
      <c r="J135" s="110">
        <v>1228.92</v>
      </c>
      <c r="K135" s="110">
        <v>51.07</v>
      </c>
      <c r="L135" s="111">
        <f t="shared" si="6"/>
        <v>2662.7200000000003</v>
      </c>
      <c r="M135" s="110">
        <f t="shared" si="7"/>
        <v>2822.4832000000006</v>
      </c>
      <c r="N135" s="110">
        <f t="shared" si="7"/>
        <v>2991.8321920000008</v>
      </c>
    </row>
    <row r="136" spans="1:14" x14ac:dyDescent="0.25">
      <c r="A136" s="109" t="s">
        <v>11</v>
      </c>
      <c r="B136" s="108" t="s">
        <v>188</v>
      </c>
      <c r="C136" s="109" t="s">
        <v>34</v>
      </c>
      <c r="D136" s="110">
        <v>66192</v>
      </c>
      <c r="F136" s="110">
        <v>2727.18</v>
      </c>
      <c r="G136" s="110">
        <v>0</v>
      </c>
      <c r="H136" s="110">
        <v>22678.69</v>
      </c>
      <c r="J136" s="110">
        <v>43513.31</v>
      </c>
      <c r="K136" s="110">
        <v>34.26</v>
      </c>
      <c r="L136" s="111">
        <f t="shared" si="6"/>
        <v>70163.520000000004</v>
      </c>
      <c r="M136" s="110">
        <f t="shared" si="7"/>
        <v>74373.331200000015</v>
      </c>
      <c r="N136" s="110">
        <f t="shared" si="7"/>
        <v>78835.731072000024</v>
      </c>
    </row>
    <row r="137" spans="1:14" x14ac:dyDescent="0.25">
      <c r="A137" s="109" t="s">
        <v>11</v>
      </c>
      <c r="B137" s="108" t="s">
        <v>189</v>
      </c>
      <c r="C137" s="109" t="s">
        <v>36</v>
      </c>
      <c r="D137" s="110">
        <v>589970</v>
      </c>
      <c r="F137" s="110">
        <v>31414.799999999999</v>
      </c>
      <c r="G137" s="110">
        <v>0</v>
      </c>
      <c r="H137" s="110">
        <v>241500.87</v>
      </c>
      <c r="J137" s="110">
        <v>348469.13</v>
      </c>
      <c r="K137" s="110">
        <v>40.93</v>
      </c>
      <c r="L137" s="111">
        <f t="shared" si="6"/>
        <v>625368.20000000007</v>
      </c>
      <c r="M137" s="110">
        <f t="shared" si="7"/>
        <v>662890.29200000013</v>
      </c>
      <c r="N137" s="110">
        <f t="shared" si="7"/>
        <v>702663.70952000015</v>
      </c>
    </row>
    <row r="138" spans="1:14" x14ac:dyDescent="0.25">
      <c r="A138" s="109" t="s">
        <v>11</v>
      </c>
      <c r="B138" s="108" t="s">
        <v>190</v>
      </c>
      <c r="C138" s="109" t="s">
        <v>38</v>
      </c>
      <c r="D138" s="110">
        <v>1510909</v>
      </c>
      <c r="F138" s="110">
        <v>126755</v>
      </c>
      <c r="G138" s="110">
        <v>0</v>
      </c>
      <c r="H138" s="110">
        <v>1016457.6</v>
      </c>
      <c r="J138" s="110">
        <v>494451.4</v>
      </c>
      <c r="K138" s="110">
        <v>67.27</v>
      </c>
      <c r="L138" s="111">
        <f t="shared" si="6"/>
        <v>1601563.54</v>
      </c>
      <c r="M138" s="110">
        <f t="shared" si="7"/>
        <v>1697657.3524000002</v>
      </c>
      <c r="N138" s="110">
        <f t="shared" si="7"/>
        <v>1799516.7935440002</v>
      </c>
    </row>
    <row r="139" spans="1:14" x14ac:dyDescent="0.25">
      <c r="A139" s="109" t="s">
        <v>11</v>
      </c>
      <c r="B139" s="108" t="s">
        <v>191</v>
      </c>
      <c r="C139" s="109" t="s">
        <v>40</v>
      </c>
      <c r="D139" s="110">
        <v>33496</v>
      </c>
      <c r="F139" s="110">
        <v>2230.8000000000002</v>
      </c>
      <c r="G139" s="110">
        <v>0</v>
      </c>
      <c r="H139" s="110">
        <v>17697.68</v>
      </c>
      <c r="J139" s="110">
        <v>15798.32</v>
      </c>
      <c r="K139" s="110">
        <v>52.83</v>
      </c>
      <c r="L139" s="111">
        <f t="shared" si="6"/>
        <v>35505.760000000002</v>
      </c>
      <c r="M139" s="110">
        <f t="shared" si="7"/>
        <v>37636.105600000003</v>
      </c>
      <c r="N139" s="110">
        <f t="shared" si="7"/>
        <v>39894.271936000005</v>
      </c>
    </row>
    <row r="140" spans="1:14" x14ac:dyDescent="0.25">
      <c r="A140" s="109" t="s">
        <v>11</v>
      </c>
      <c r="B140" s="108" t="s">
        <v>192</v>
      </c>
      <c r="C140" s="109" t="s">
        <v>42</v>
      </c>
      <c r="D140" s="110">
        <v>0</v>
      </c>
      <c r="F140" s="110">
        <v>0</v>
      </c>
      <c r="G140" s="110">
        <v>0</v>
      </c>
      <c r="H140" s="110">
        <v>102108.12</v>
      </c>
      <c r="J140" s="110">
        <v>-102108.12</v>
      </c>
      <c r="K140" s="110">
        <v>0</v>
      </c>
      <c r="L140" s="111">
        <f t="shared" si="6"/>
        <v>0</v>
      </c>
      <c r="M140" s="110">
        <f t="shared" si="7"/>
        <v>0</v>
      </c>
      <c r="N140" s="110">
        <f t="shared" si="7"/>
        <v>0</v>
      </c>
    </row>
    <row r="141" spans="1:14" x14ac:dyDescent="0.25">
      <c r="A141" s="109" t="s">
        <v>11</v>
      </c>
      <c r="B141" s="108" t="s">
        <v>193</v>
      </c>
      <c r="C141" s="109" t="s">
        <v>44</v>
      </c>
      <c r="D141" s="110">
        <v>0</v>
      </c>
      <c r="F141" s="110">
        <v>0</v>
      </c>
      <c r="G141" s="110">
        <v>0</v>
      </c>
      <c r="H141" s="110">
        <v>71202.320000000007</v>
      </c>
      <c r="J141" s="110">
        <v>-71202.320000000007</v>
      </c>
      <c r="K141" s="110">
        <v>0</v>
      </c>
      <c r="L141" s="111">
        <f t="shared" si="6"/>
        <v>0</v>
      </c>
      <c r="M141" s="110">
        <f t="shared" si="7"/>
        <v>0</v>
      </c>
      <c r="N141" s="110">
        <f t="shared" si="7"/>
        <v>0</v>
      </c>
    </row>
    <row r="142" spans="1:14" x14ac:dyDescent="0.25">
      <c r="A142" s="109" t="s">
        <v>11</v>
      </c>
      <c r="B142" s="108" t="s">
        <v>194</v>
      </c>
      <c r="C142" s="109" t="s">
        <v>195</v>
      </c>
      <c r="D142" s="110">
        <v>500000</v>
      </c>
      <c r="F142" s="110">
        <v>110086</v>
      </c>
      <c r="G142" s="110">
        <v>-14000</v>
      </c>
      <c r="H142" s="110">
        <v>358617.63</v>
      </c>
      <c r="J142" s="110">
        <v>141382.37</v>
      </c>
      <c r="K142" s="110">
        <v>71.72</v>
      </c>
      <c r="L142" s="111">
        <f>D142*1.041</f>
        <v>520499.99999999994</v>
      </c>
      <c r="M142" s="110">
        <f>L142*1.04</f>
        <v>541320</v>
      </c>
      <c r="N142" s="110">
        <f>M142*1.045</f>
        <v>565679.39999999991</v>
      </c>
    </row>
    <row r="143" spans="1:14" x14ac:dyDescent="0.25">
      <c r="A143" s="109" t="s">
        <v>11</v>
      </c>
      <c r="B143" s="108" t="s">
        <v>196</v>
      </c>
      <c r="C143" s="109" t="s">
        <v>197</v>
      </c>
      <c r="D143" s="110">
        <v>6500000</v>
      </c>
      <c r="F143" s="110">
        <v>1365407.24</v>
      </c>
      <c r="G143" s="110">
        <v>0</v>
      </c>
      <c r="H143" s="110">
        <v>5837529.9500000002</v>
      </c>
      <c r="J143" s="110">
        <v>662470.05000000005</v>
      </c>
      <c r="K143" s="110">
        <v>89.8</v>
      </c>
      <c r="L143" s="111">
        <f t="shared" ref="L143:L152" si="8">D143*1.041</f>
        <v>6766499.9999999991</v>
      </c>
      <c r="M143" s="110">
        <f t="shared" ref="M143:M152" si="9">L143*1.04</f>
        <v>7037159.9999999991</v>
      </c>
      <c r="N143" s="110">
        <f t="shared" ref="N143:N152" si="10">M143*1.045</f>
        <v>7353832.1999999983</v>
      </c>
    </row>
    <row r="144" spans="1:14" x14ac:dyDescent="0.25">
      <c r="A144" s="109" t="s">
        <v>11</v>
      </c>
      <c r="B144" s="108" t="s">
        <v>198</v>
      </c>
      <c r="C144" s="109" t="s">
        <v>199</v>
      </c>
      <c r="D144" s="110">
        <v>46000000</v>
      </c>
      <c r="F144" s="110">
        <v>0</v>
      </c>
      <c r="G144" s="110">
        <v>35750</v>
      </c>
      <c r="H144" s="110">
        <v>24539556.16</v>
      </c>
      <c r="J144" s="110">
        <v>21460443.84</v>
      </c>
      <c r="K144" s="110">
        <v>53.34</v>
      </c>
      <c r="L144" s="111">
        <v>30000000</v>
      </c>
      <c r="M144" s="110">
        <f t="shared" si="9"/>
        <v>31200000</v>
      </c>
      <c r="N144" s="110">
        <f t="shared" si="10"/>
        <v>32603999.999999996</v>
      </c>
    </row>
    <row r="145" spans="1:14" x14ac:dyDescent="0.25">
      <c r="A145" s="109" t="s">
        <v>11</v>
      </c>
      <c r="B145" s="108" t="s">
        <v>200</v>
      </c>
      <c r="C145" s="109" t="s">
        <v>201</v>
      </c>
      <c r="D145" s="110">
        <v>6891150</v>
      </c>
      <c r="F145" s="110">
        <v>1240165.03</v>
      </c>
      <c r="G145" s="110">
        <v>0</v>
      </c>
      <c r="H145" s="110">
        <v>2107152.36</v>
      </c>
      <c r="J145" s="110">
        <v>4783997.6399999997</v>
      </c>
      <c r="K145" s="110">
        <v>30.57</v>
      </c>
      <c r="L145" s="111">
        <f t="shared" si="8"/>
        <v>7173687.1499999994</v>
      </c>
      <c r="M145" s="110">
        <f t="shared" si="9"/>
        <v>7460634.6359999999</v>
      </c>
      <c r="N145" s="110">
        <f t="shared" si="10"/>
        <v>7796363.1946199993</v>
      </c>
    </row>
    <row r="146" spans="1:14" x14ac:dyDescent="0.25">
      <c r="A146" s="109" t="s">
        <v>11</v>
      </c>
      <c r="B146" s="108" t="s">
        <v>202</v>
      </c>
      <c r="C146" s="109" t="s">
        <v>203</v>
      </c>
      <c r="D146" s="110">
        <v>850000</v>
      </c>
      <c r="F146" s="110">
        <v>0</v>
      </c>
      <c r="G146" s="110">
        <v>0</v>
      </c>
      <c r="H146" s="110">
        <v>0</v>
      </c>
      <c r="J146" s="110">
        <v>850000</v>
      </c>
      <c r="K146" s="110">
        <v>0</v>
      </c>
      <c r="L146" s="111">
        <f t="shared" si="8"/>
        <v>884849.99999999988</v>
      </c>
      <c r="M146" s="110">
        <f t="shared" si="9"/>
        <v>920243.99999999988</v>
      </c>
      <c r="N146" s="110">
        <f t="shared" si="10"/>
        <v>961654.97999999986</v>
      </c>
    </row>
    <row r="147" spans="1:14" x14ac:dyDescent="0.25">
      <c r="A147" s="109" t="s">
        <v>11</v>
      </c>
      <c r="B147" s="108" t="s">
        <v>204</v>
      </c>
      <c r="C147" s="109" t="s">
        <v>102</v>
      </c>
      <c r="D147" s="110">
        <v>101000</v>
      </c>
      <c r="F147" s="110">
        <v>0</v>
      </c>
      <c r="G147" s="110">
        <v>0</v>
      </c>
      <c r="H147" s="110">
        <v>0</v>
      </c>
      <c r="J147" s="110">
        <v>101000</v>
      </c>
      <c r="K147" s="110">
        <v>0</v>
      </c>
      <c r="L147" s="111">
        <f t="shared" si="8"/>
        <v>105140.99999999999</v>
      </c>
      <c r="M147" s="110">
        <f t="shared" si="9"/>
        <v>109346.63999999998</v>
      </c>
      <c r="N147" s="110">
        <f t="shared" si="10"/>
        <v>114267.23879999998</v>
      </c>
    </row>
    <row r="148" spans="1:14" x14ac:dyDescent="0.25">
      <c r="A148" s="109" t="s">
        <v>11</v>
      </c>
      <c r="B148" s="108" t="s">
        <v>205</v>
      </c>
      <c r="C148" s="109" t="s">
        <v>206</v>
      </c>
      <c r="D148" s="110">
        <v>1411000</v>
      </c>
      <c r="F148" s="110">
        <v>17391.310000000001</v>
      </c>
      <c r="G148" s="110">
        <v>4347.83</v>
      </c>
      <c r="H148" s="110">
        <v>70745.77</v>
      </c>
      <c r="J148" s="110">
        <v>1340254.23</v>
      </c>
      <c r="K148" s="110">
        <v>5.01</v>
      </c>
      <c r="L148" s="111">
        <f>D148*1.041-500000</f>
        <v>968851</v>
      </c>
      <c r="M148" s="110">
        <f t="shared" si="9"/>
        <v>1007605.04</v>
      </c>
      <c r="N148" s="110">
        <f t="shared" si="10"/>
        <v>1052947.2667999999</v>
      </c>
    </row>
    <row r="149" spans="1:14" x14ac:dyDescent="0.25">
      <c r="A149" s="109" t="s">
        <v>11</v>
      </c>
      <c r="B149" s="108" t="s">
        <v>207</v>
      </c>
      <c r="C149" s="109" t="s">
        <v>208</v>
      </c>
      <c r="D149" s="110">
        <v>5890000</v>
      </c>
      <c r="F149" s="110">
        <v>0</v>
      </c>
      <c r="G149" s="110">
        <v>0</v>
      </c>
      <c r="H149" s="110">
        <v>1574072.86</v>
      </c>
      <c r="J149" s="110">
        <v>4315927.1399999997</v>
      </c>
      <c r="K149" s="110">
        <v>26.72</v>
      </c>
      <c r="L149" s="111">
        <f t="shared" si="8"/>
        <v>6131490</v>
      </c>
      <c r="M149" s="110">
        <f t="shared" si="9"/>
        <v>6376749.6000000006</v>
      </c>
      <c r="N149" s="110">
        <f t="shared" si="10"/>
        <v>6663703.3320000004</v>
      </c>
    </row>
    <row r="150" spans="1:14" x14ac:dyDescent="0.25">
      <c r="A150" s="109" t="s">
        <v>11</v>
      </c>
      <c r="B150" s="108" t="s">
        <v>209</v>
      </c>
      <c r="C150" s="109" t="s">
        <v>107</v>
      </c>
      <c r="D150" s="110">
        <v>88750</v>
      </c>
      <c r="F150" s="110">
        <v>9498.81</v>
      </c>
      <c r="G150" s="110">
        <v>0</v>
      </c>
      <c r="H150" s="110">
        <v>57443.14</v>
      </c>
      <c r="J150" s="110">
        <v>31306.86</v>
      </c>
      <c r="K150" s="110">
        <v>64.72</v>
      </c>
      <c r="L150" s="111">
        <f t="shared" si="8"/>
        <v>92388.75</v>
      </c>
      <c r="M150" s="110">
        <f t="shared" si="9"/>
        <v>96084.3</v>
      </c>
      <c r="N150" s="110">
        <f t="shared" si="10"/>
        <v>100408.0935</v>
      </c>
    </row>
    <row r="151" spans="1:14" s="9" customFormat="1" x14ac:dyDescent="0.25">
      <c r="A151" s="109"/>
      <c r="B151" s="108" t="s">
        <v>737</v>
      </c>
      <c r="C151" s="109" t="s">
        <v>829</v>
      </c>
      <c r="D151" s="110"/>
      <c r="E151" s="110"/>
      <c r="F151" s="110"/>
      <c r="G151" s="110"/>
      <c r="H151" s="110"/>
      <c r="I151" s="110"/>
      <c r="J151" s="110"/>
      <c r="K151" s="110"/>
      <c r="L151" s="111">
        <v>1000000</v>
      </c>
      <c r="M151" s="110"/>
      <c r="N151" s="110"/>
    </row>
    <row r="152" spans="1:14" x14ac:dyDescent="0.25">
      <c r="A152" s="109" t="s">
        <v>11</v>
      </c>
      <c r="B152" s="108" t="s">
        <v>210</v>
      </c>
      <c r="C152" s="109" t="s">
        <v>111</v>
      </c>
      <c r="D152" s="110">
        <v>90000</v>
      </c>
      <c r="F152" s="110">
        <v>0</v>
      </c>
      <c r="G152" s="110">
        <v>14089.2</v>
      </c>
      <c r="H152" s="110">
        <v>22475.8</v>
      </c>
      <c r="J152" s="110">
        <v>67524.2</v>
      </c>
      <c r="K152" s="110">
        <v>24.97</v>
      </c>
      <c r="L152" s="111">
        <f t="shared" si="8"/>
        <v>93690</v>
      </c>
      <c r="M152" s="110">
        <f t="shared" si="9"/>
        <v>97437.6</v>
      </c>
      <c r="N152" s="110">
        <f t="shared" si="10"/>
        <v>101822.292</v>
      </c>
    </row>
    <row r="153" spans="1:14" s="9" customFormat="1" x14ac:dyDescent="0.25">
      <c r="A153" s="109"/>
      <c r="B153" s="108"/>
      <c r="C153" s="109" t="s">
        <v>709</v>
      </c>
      <c r="D153" s="110"/>
      <c r="E153" s="110"/>
      <c r="F153" s="110"/>
      <c r="G153" s="110"/>
      <c r="H153" s="110"/>
      <c r="I153" s="110"/>
      <c r="J153" s="110"/>
      <c r="K153" s="110"/>
      <c r="L153" s="111">
        <v>300000</v>
      </c>
      <c r="M153" s="110"/>
      <c r="N153" s="110"/>
    </row>
    <row r="154" spans="1:14" s="4" customFormat="1" x14ac:dyDescent="0.25">
      <c r="A154" s="112"/>
      <c r="B154" s="113"/>
      <c r="C154" s="112" t="s">
        <v>681</v>
      </c>
      <c r="D154" s="114">
        <f>SUM(D123:D153)</f>
        <v>86947191</v>
      </c>
      <c r="E154" s="114">
        <f t="shared" ref="E154:N154" si="11">SUM(E123:E153)</f>
        <v>0</v>
      </c>
      <c r="F154" s="114">
        <f t="shared" si="11"/>
        <v>3900569.54</v>
      </c>
      <c r="G154" s="114">
        <f t="shared" si="11"/>
        <v>40187.03</v>
      </c>
      <c r="H154" s="114">
        <f t="shared" si="11"/>
        <v>43935516.979999997</v>
      </c>
      <c r="I154" s="114">
        <f t="shared" si="11"/>
        <v>0</v>
      </c>
      <c r="J154" s="114">
        <f t="shared" si="11"/>
        <v>43011674.020000003</v>
      </c>
      <c r="K154" s="114">
        <f t="shared" si="11"/>
        <v>939.48000000000013</v>
      </c>
      <c r="L154" s="114">
        <f t="shared" si="11"/>
        <v>73779906.359999999</v>
      </c>
      <c r="M154" s="114">
        <f t="shared" si="11"/>
        <v>75773958.783599988</v>
      </c>
      <c r="N154" s="114">
        <f t="shared" si="11"/>
        <v>79497697.583376005</v>
      </c>
    </row>
    <row r="155" spans="1:14" s="4" customFormat="1" x14ac:dyDescent="0.25">
      <c r="A155" s="112"/>
      <c r="B155" s="113"/>
      <c r="C155" s="112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</row>
    <row r="156" spans="1:14" x14ac:dyDescent="0.25">
      <c r="A156" s="109" t="s">
        <v>11</v>
      </c>
      <c r="B156" s="108" t="s">
        <v>280</v>
      </c>
      <c r="C156" s="109" t="s">
        <v>281</v>
      </c>
      <c r="D156" s="110">
        <v>943500</v>
      </c>
      <c r="F156" s="110">
        <v>76210.94</v>
      </c>
      <c r="G156" s="110">
        <v>0</v>
      </c>
      <c r="H156" s="110">
        <v>609687.52</v>
      </c>
      <c r="J156" s="110">
        <v>333812.47999999998</v>
      </c>
      <c r="K156" s="110">
        <v>64.61</v>
      </c>
      <c r="L156" s="111">
        <f>D156*1.06</f>
        <v>1000110</v>
      </c>
      <c r="M156" s="110">
        <f>L156*1.06</f>
        <v>1060116.6000000001</v>
      </c>
      <c r="N156" s="110">
        <f>M156*1.06</f>
        <v>1123723.5960000001</v>
      </c>
    </row>
    <row r="157" spans="1:14" x14ac:dyDescent="0.25">
      <c r="A157" s="109" t="s">
        <v>11</v>
      </c>
      <c r="B157" s="108" t="s">
        <v>282</v>
      </c>
      <c r="C157" s="109" t="s">
        <v>283</v>
      </c>
      <c r="D157" s="110">
        <v>25487</v>
      </c>
      <c r="F157" s="110">
        <v>1999</v>
      </c>
      <c r="G157" s="110">
        <v>0</v>
      </c>
      <c r="H157" s="110">
        <v>15992</v>
      </c>
      <c r="J157" s="110">
        <v>9495</v>
      </c>
      <c r="K157" s="110">
        <v>62.74</v>
      </c>
      <c r="L157" s="111">
        <f t="shared" ref="L157:L181" si="12">D157*1.06</f>
        <v>27016.22</v>
      </c>
      <c r="M157" s="110">
        <f t="shared" ref="M157:N181" si="13">L157*1.06</f>
        <v>28637.193200000002</v>
      </c>
      <c r="N157" s="110">
        <f t="shared" si="13"/>
        <v>30355.424792000002</v>
      </c>
    </row>
    <row r="158" spans="1:14" x14ac:dyDescent="0.25">
      <c r="A158" s="109" t="s">
        <v>11</v>
      </c>
      <c r="B158" s="108" t="s">
        <v>284</v>
      </c>
      <c r="C158" s="109" t="s">
        <v>285</v>
      </c>
      <c r="D158" s="110">
        <v>89250</v>
      </c>
      <c r="F158" s="110">
        <v>7000</v>
      </c>
      <c r="G158" s="110">
        <v>0</v>
      </c>
      <c r="H158" s="110">
        <v>56000</v>
      </c>
      <c r="J158" s="110">
        <v>33250</v>
      </c>
      <c r="K158" s="110">
        <v>62.74</v>
      </c>
      <c r="L158" s="111">
        <f t="shared" si="12"/>
        <v>94605</v>
      </c>
      <c r="M158" s="110">
        <f t="shared" si="13"/>
        <v>100281.3</v>
      </c>
      <c r="N158" s="110">
        <f t="shared" si="13"/>
        <v>106298.17800000001</v>
      </c>
    </row>
    <row r="159" spans="1:14" x14ac:dyDescent="0.25">
      <c r="A159" s="109" t="s">
        <v>11</v>
      </c>
      <c r="B159" s="108" t="s">
        <v>286</v>
      </c>
      <c r="C159" s="109" t="s">
        <v>287</v>
      </c>
      <c r="D159" s="110">
        <v>31521</v>
      </c>
      <c r="F159" s="110">
        <v>0</v>
      </c>
      <c r="G159" s="110">
        <v>0</v>
      </c>
      <c r="H159" s="110">
        <v>0</v>
      </c>
      <c r="J159" s="110">
        <v>31521</v>
      </c>
      <c r="K159" s="110">
        <v>0</v>
      </c>
      <c r="L159" s="111">
        <f t="shared" si="12"/>
        <v>33412.26</v>
      </c>
      <c r="M159" s="110">
        <f t="shared" si="13"/>
        <v>35416.995600000002</v>
      </c>
      <c r="N159" s="110">
        <f t="shared" si="13"/>
        <v>37542.015336000004</v>
      </c>
    </row>
    <row r="160" spans="1:14" x14ac:dyDescent="0.25">
      <c r="A160" s="109" t="s">
        <v>11</v>
      </c>
      <c r="B160" s="108" t="s">
        <v>288</v>
      </c>
      <c r="C160" s="109" t="s">
        <v>289</v>
      </c>
      <c r="D160" s="110">
        <v>31309</v>
      </c>
      <c r="F160" s="110">
        <v>0</v>
      </c>
      <c r="G160" s="110">
        <v>0</v>
      </c>
      <c r="H160" s="110">
        <v>0</v>
      </c>
      <c r="J160" s="110">
        <v>31309</v>
      </c>
      <c r="K160" s="110">
        <v>0</v>
      </c>
      <c r="L160" s="111">
        <f t="shared" si="12"/>
        <v>33187.54</v>
      </c>
      <c r="M160" s="110">
        <f t="shared" si="13"/>
        <v>35178.792400000006</v>
      </c>
      <c r="N160" s="110">
        <f t="shared" si="13"/>
        <v>37289.519944000007</v>
      </c>
    </row>
    <row r="161" spans="1:14" x14ac:dyDescent="0.25">
      <c r="A161" s="109" t="s">
        <v>11</v>
      </c>
      <c r="B161" s="108" t="s">
        <v>290</v>
      </c>
      <c r="C161" s="109" t="s">
        <v>291</v>
      </c>
      <c r="D161" s="110">
        <v>17000</v>
      </c>
      <c r="F161" s="110">
        <v>0</v>
      </c>
      <c r="G161" s="110">
        <v>0</v>
      </c>
      <c r="H161" s="110">
        <v>8523.34</v>
      </c>
      <c r="J161" s="110">
        <v>8476.66</v>
      </c>
      <c r="K161" s="110">
        <v>50.13</v>
      </c>
      <c r="L161" s="111">
        <f t="shared" si="12"/>
        <v>18020</v>
      </c>
      <c r="M161" s="110">
        <f t="shared" si="13"/>
        <v>19101.2</v>
      </c>
      <c r="N161" s="110">
        <f t="shared" si="13"/>
        <v>20247.272000000001</v>
      </c>
    </row>
    <row r="162" spans="1:14" x14ac:dyDescent="0.25">
      <c r="A162" s="109" t="s">
        <v>11</v>
      </c>
      <c r="B162" s="108" t="s">
        <v>292</v>
      </c>
      <c r="C162" s="109" t="s">
        <v>293</v>
      </c>
      <c r="D162" s="110">
        <v>96167</v>
      </c>
      <c r="F162" s="110">
        <v>0</v>
      </c>
      <c r="G162" s="110">
        <v>0</v>
      </c>
      <c r="H162" s="110">
        <v>45726.55</v>
      </c>
      <c r="J162" s="110">
        <v>50440.45</v>
      </c>
      <c r="K162" s="110">
        <v>47.54</v>
      </c>
      <c r="L162" s="111">
        <f t="shared" si="12"/>
        <v>101937.02</v>
      </c>
      <c r="M162" s="110">
        <f t="shared" si="13"/>
        <v>108053.2412</v>
      </c>
      <c r="N162" s="110">
        <f t="shared" si="13"/>
        <v>114536.43567200001</v>
      </c>
    </row>
    <row r="163" spans="1:14" x14ac:dyDescent="0.25">
      <c r="A163" s="109" t="s">
        <v>11</v>
      </c>
      <c r="B163" s="108" t="s">
        <v>294</v>
      </c>
      <c r="C163" s="109" t="s">
        <v>295</v>
      </c>
      <c r="D163" s="110">
        <v>800</v>
      </c>
      <c r="F163" s="110">
        <v>0</v>
      </c>
      <c r="G163" s="110">
        <v>0</v>
      </c>
      <c r="H163" s="110">
        <v>400</v>
      </c>
      <c r="J163" s="110">
        <v>400</v>
      </c>
      <c r="K163" s="110">
        <v>50</v>
      </c>
      <c r="L163" s="111">
        <f t="shared" si="12"/>
        <v>848</v>
      </c>
      <c r="M163" s="110">
        <f t="shared" si="13"/>
        <v>898.88</v>
      </c>
      <c r="N163" s="110">
        <f t="shared" si="13"/>
        <v>952.81280000000004</v>
      </c>
    </row>
    <row r="164" spans="1:14" x14ac:dyDescent="0.25">
      <c r="A164" s="109" t="s">
        <v>11</v>
      </c>
      <c r="B164" s="108" t="s">
        <v>296</v>
      </c>
      <c r="C164" s="109" t="s">
        <v>297</v>
      </c>
      <c r="D164" s="110">
        <v>103</v>
      </c>
      <c r="F164" s="110">
        <v>0</v>
      </c>
      <c r="G164" s="110">
        <v>0</v>
      </c>
      <c r="H164" s="110">
        <v>51.24</v>
      </c>
      <c r="J164" s="110">
        <v>51.76</v>
      </c>
      <c r="K164" s="110">
        <v>49.74</v>
      </c>
      <c r="L164" s="111">
        <f t="shared" si="12"/>
        <v>109.18</v>
      </c>
      <c r="M164" s="110">
        <f t="shared" si="13"/>
        <v>115.73080000000002</v>
      </c>
      <c r="N164" s="110">
        <f t="shared" si="13"/>
        <v>122.67464800000002</v>
      </c>
    </row>
    <row r="165" spans="1:14" x14ac:dyDescent="0.25">
      <c r="A165" s="109" t="s">
        <v>11</v>
      </c>
      <c r="B165" s="108" t="s">
        <v>298</v>
      </c>
      <c r="C165" s="109" t="s">
        <v>13</v>
      </c>
      <c r="D165" s="110">
        <v>29735569</v>
      </c>
      <c r="F165" s="110">
        <v>2331692.48</v>
      </c>
      <c r="G165" s="110">
        <v>0</v>
      </c>
      <c r="H165" s="110">
        <v>19105153.82</v>
      </c>
      <c r="J165" s="110">
        <v>10630415.18</v>
      </c>
      <c r="K165" s="110">
        <v>64.25</v>
      </c>
      <c r="L165" s="111">
        <f t="shared" si="12"/>
        <v>31519703.140000001</v>
      </c>
      <c r="M165" s="110">
        <f t="shared" si="13"/>
        <v>33410885.328400001</v>
      </c>
      <c r="N165" s="110">
        <f t="shared" si="13"/>
        <v>35415538.448104002</v>
      </c>
    </row>
    <row r="166" spans="1:14" x14ac:dyDescent="0.25">
      <c r="A166" s="109" t="s">
        <v>11</v>
      </c>
      <c r="B166" s="108" t="s">
        <v>299</v>
      </c>
      <c r="C166" s="109" t="s">
        <v>13</v>
      </c>
      <c r="D166" s="110">
        <v>377443</v>
      </c>
      <c r="F166" s="110">
        <v>39616.94</v>
      </c>
      <c r="G166" s="110">
        <v>0</v>
      </c>
      <c r="H166" s="110">
        <v>379911.84</v>
      </c>
      <c r="J166" s="110">
        <v>-2468.84</v>
      </c>
      <c r="K166" s="110">
        <v>100.65</v>
      </c>
      <c r="L166" s="111">
        <f t="shared" si="12"/>
        <v>400089.58</v>
      </c>
      <c r="M166" s="110">
        <f t="shared" si="13"/>
        <v>424094.95480000007</v>
      </c>
      <c r="N166" s="110">
        <f t="shared" si="13"/>
        <v>449540.65208800009</v>
      </c>
    </row>
    <row r="167" spans="1:14" x14ac:dyDescent="0.25">
      <c r="A167" s="109" t="s">
        <v>11</v>
      </c>
      <c r="B167" s="108" t="s">
        <v>300</v>
      </c>
      <c r="C167" s="109" t="s">
        <v>13</v>
      </c>
      <c r="D167" s="110">
        <v>0</v>
      </c>
      <c r="F167" s="110">
        <v>0</v>
      </c>
      <c r="G167" s="110">
        <v>0</v>
      </c>
      <c r="H167" s="110">
        <v>0</v>
      </c>
      <c r="J167" s="110">
        <v>0</v>
      </c>
      <c r="K167" s="110">
        <v>0</v>
      </c>
      <c r="L167" s="111">
        <f t="shared" si="12"/>
        <v>0</v>
      </c>
      <c r="M167" s="110">
        <f t="shared" si="13"/>
        <v>0</v>
      </c>
      <c r="N167" s="110">
        <f t="shared" si="13"/>
        <v>0</v>
      </c>
    </row>
    <row r="168" spans="1:14" x14ac:dyDescent="0.25">
      <c r="A168" s="109" t="s">
        <v>11</v>
      </c>
      <c r="B168" s="108" t="s">
        <v>301</v>
      </c>
      <c r="C168" s="109" t="s">
        <v>15</v>
      </c>
      <c r="D168" s="110">
        <v>284680</v>
      </c>
      <c r="F168" s="110">
        <v>21539</v>
      </c>
      <c r="G168" s="110">
        <v>0</v>
      </c>
      <c r="H168" s="110">
        <v>172312</v>
      </c>
      <c r="J168" s="110">
        <v>112368</v>
      </c>
      <c r="K168" s="110">
        <v>60.52</v>
      </c>
      <c r="L168" s="111">
        <f t="shared" si="12"/>
        <v>301760.8</v>
      </c>
      <c r="M168" s="110">
        <f t="shared" si="13"/>
        <v>319866.44799999997</v>
      </c>
      <c r="N168" s="110">
        <f t="shared" si="13"/>
        <v>339058.43488000002</v>
      </c>
    </row>
    <row r="169" spans="1:14" x14ac:dyDescent="0.25">
      <c r="A169" s="109" t="s">
        <v>11</v>
      </c>
      <c r="B169" s="108" t="s">
        <v>302</v>
      </c>
      <c r="C169" s="109" t="s">
        <v>17</v>
      </c>
      <c r="D169" s="110">
        <v>136353</v>
      </c>
      <c r="F169" s="110">
        <v>11339.91</v>
      </c>
      <c r="G169" s="110">
        <v>0</v>
      </c>
      <c r="H169" s="110">
        <v>90719.28</v>
      </c>
      <c r="J169" s="110">
        <v>45633.72</v>
      </c>
      <c r="K169" s="110">
        <v>66.53</v>
      </c>
      <c r="L169" s="111">
        <f t="shared" si="12"/>
        <v>144534.18</v>
      </c>
      <c r="M169" s="110">
        <f t="shared" si="13"/>
        <v>153206.23079999999</v>
      </c>
      <c r="N169" s="110">
        <f t="shared" si="13"/>
        <v>162398.60464800001</v>
      </c>
    </row>
    <row r="170" spans="1:14" x14ac:dyDescent="0.25">
      <c r="A170" s="109" t="s">
        <v>11</v>
      </c>
      <c r="B170" s="108" t="s">
        <v>303</v>
      </c>
      <c r="C170" s="109" t="s">
        <v>19</v>
      </c>
      <c r="D170" s="110">
        <v>1220632</v>
      </c>
      <c r="F170" s="110">
        <v>0</v>
      </c>
      <c r="G170" s="110">
        <v>0</v>
      </c>
      <c r="H170" s="110">
        <v>60346.04</v>
      </c>
      <c r="J170" s="110">
        <v>1160285.96</v>
      </c>
      <c r="K170" s="110">
        <v>4.9400000000000004</v>
      </c>
      <c r="L170" s="111">
        <f t="shared" si="12"/>
        <v>1293869.9200000002</v>
      </c>
      <c r="M170" s="110">
        <f t="shared" si="13"/>
        <v>1371502.1152000003</v>
      </c>
      <c r="N170" s="110">
        <f t="shared" si="13"/>
        <v>1453792.2421120005</v>
      </c>
    </row>
    <row r="171" spans="1:14" x14ac:dyDescent="0.25">
      <c r="A171" s="109" t="s">
        <v>11</v>
      </c>
      <c r="B171" s="108" t="s">
        <v>304</v>
      </c>
      <c r="C171" s="109" t="s">
        <v>21</v>
      </c>
      <c r="D171" s="110">
        <v>2709406</v>
      </c>
      <c r="F171" s="110">
        <v>165948.07999999999</v>
      </c>
      <c r="G171" s="110">
        <v>0</v>
      </c>
      <c r="H171" s="110">
        <v>1281406.9099999999</v>
      </c>
      <c r="J171" s="110">
        <v>1427999.09</v>
      </c>
      <c r="K171" s="110">
        <v>47.29</v>
      </c>
      <c r="L171" s="111">
        <f t="shared" si="12"/>
        <v>2871970.3600000003</v>
      </c>
      <c r="M171" s="110">
        <f t="shared" si="13"/>
        <v>3044288.5816000006</v>
      </c>
      <c r="N171" s="110">
        <f t="shared" si="13"/>
        <v>3226945.8964960007</v>
      </c>
    </row>
    <row r="172" spans="1:14" x14ac:dyDescent="0.25">
      <c r="A172" s="109" t="s">
        <v>11</v>
      </c>
      <c r="B172" s="108" t="s">
        <v>305</v>
      </c>
      <c r="C172" s="109" t="s">
        <v>128</v>
      </c>
      <c r="D172" s="110">
        <v>0</v>
      </c>
      <c r="F172" s="110">
        <v>0</v>
      </c>
      <c r="G172" s="110">
        <v>0</v>
      </c>
      <c r="H172" s="110">
        <v>-6955.23</v>
      </c>
      <c r="J172" s="110">
        <v>6955.23</v>
      </c>
      <c r="K172" s="110">
        <v>0</v>
      </c>
      <c r="L172" s="111">
        <f t="shared" si="12"/>
        <v>0</v>
      </c>
      <c r="M172" s="110">
        <f t="shared" si="13"/>
        <v>0</v>
      </c>
      <c r="N172" s="110">
        <f t="shared" si="13"/>
        <v>0</v>
      </c>
    </row>
    <row r="173" spans="1:14" x14ac:dyDescent="0.25">
      <c r="A173" s="109" t="s">
        <v>11</v>
      </c>
      <c r="B173" s="108" t="s">
        <v>306</v>
      </c>
      <c r="C173" s="109" t="s">
        <v>23</v>
      </c>
      <c r="D173" s="110">
        <v>14779</v>
      </c>
      <c r="F173" s="110">
        <v>0</v>
      </c>
      <c r="G173" s="110">
        <v>0</v>
      </c>
      <c r="H173" s="110">
        <v>21902.84</v>
      </c>
      <c r="J173" s="110">
        <v>-7123.84</v>
      </c>
      <c r="K173" s="110">
        <v>148.19999999999999</v>
      </c>
      <c r="L173" s="111">
        <f t="shared" si="12"/>
        <v>15665.740000000002</v>
      </c>
      <c r="M173" s="110">
        <f t="shared" si="13"/>
        <v>16605.684400000002</v>
      </c>
      <c r="N173" s="110">
        <f t="shared" si="13"/>
        <v>17602.025464000002</v>
      </c>
    </row>
    <row r="174" spans="1:14" x14ac:dyDescent="0.25">
      <c r="A174" s="109" t="s">
        <v>11</v>
      </c>
      <c r="B174" s="108" t="s">
        <v>307</v>
      </c>
      <c r="C174" s="109" t="s">
        <v>27</v>
      </c>
      <c r="D174" s="110">
        <v>0</v>
      </c>
      <c r="F174" s="110">
        <v>3591.62</v>
      </c>
      <c r="G174" s="110">
        <v>0</v>
      </c>
      <c r="H174" s="110">
        <v>16611.689999999999</v>
      </c>
      <c r="J174" s="110">
        <v>-16611.689999999999</v>
      </c>
      <c r="K174" s="110">
        <v>0</v>
      </c>
      <c r="L174" s="111">
        <f t="shared" si="12"/>
        <v>0</v>
      </c>
      <c r="M174" s="110">
        <f t="shared" si="13"/>
        <v>0</v>
      </c>
      <c r="N174" s="110">
        <f t="shared" si="13"/>
        <v>0</v>
      </c>
    </row>
    <row r="175" spans="1:14" x14ac:dyDescent="0.25">
      <c r="A175" s="109" t="s">
        <v>11</v>
      </c>
      <c r="B175" s="108" t="s">
        <v>308</v>
      </c>
      <c r="C175" s="109" t="s">
        <v>31</v>
      </c>
      <c r="D175" s="110">
        <v>6869</v>
      </c>
      <c r="F175" s="110">
        <v>628.55999999999995</v>
      </c>
      <c r="G175" s="110">
        <v>0</v>
      </c>
      <c r="H175" s="110">
        <v>4680.6000000000004</v>
      </c>
      <c r="J175" s="110">
        <v>2188.4</v>
      </c>
      <c r="K175" s="110">
        <v>68.14</v>
      </c>
      <c r="L175" s="111">
        <f t="shared" si="12"/>
        <v>7281.14</v>
      </c>
      <c r="M175" s="110">
        <f t="shared" si="13"/>
        <v>7718.0084000000006</v>
      </c>
      <c r="N175" s="110">
        <f t="shared" si="13"/>
        <v>8181.0889040000011</v>
      </c>
    </row>
    <row r="176" spans="1:14" x14ac:dyDescent="0.25">
      <c r="A176" s="109" t="s">
        <v>11</v>
      </c>
      <c r="B176" s="108" t="s">
        <v>309</v>
      </c>
      <c r="C176" s="109" t="s">
        <v>34</v>
      </c>
      <c r="D176" s="110">
        <v>236536</v>
      </c>
      <c r="F176" s="110">
        <v>20287.68</v>
      </c>
      <c r="G176" s="110">
        <v>0</v>
      </c>
      <c r="H176" s="110">
        <v>161069.84</v>
      </c>
      <c r="J176" s="110">
        <v>75466.16</v>
      </c>
      <c r="K176" s="110">
        <v>68.09</v>
      </c>
      <c r="L176" s="111">
        <f t="shared" si="12"/>
        <v>250728.16</v>
      </c>
      <c r="M176" s="110">
        <f t="shared" si="13"/>
        <v>265771.84960000002</v>
      </c>
      <c r="N176" s="110">
        <f t="shared" si="13"/>
        <v>281718.16057600005</v>
      </c>
    </row>
    <row r="177" spans="1:14" x14ac:dyDescent="0.25">
      <c r="A177" s="109" t="s">
        <v>11</v>
      </c>
      <c r="B177" s="108" t="s">
        <v>310</v>
      </c>
      <c r="C177" s="109" t="s">
        <v>36</v>
      </c>
      <c r="D177" s="110">
        <v>1752369</v>
      </c>
      <c r="F177" s="110">
        <v>153975.6</v>
      </c>
      <c r="G177" s="110">
        <v>0</v>
      </c>
      <c r="H177" s="110">
        <v>1212494.28</v>
      </c>
      <c r="J177" s="110">
        <v>539874.72</v>
      </c>
      <c r="K177" s="110">
        <v>69.19</v>
      </c>
      <c r="L177" s="111">
        <f t="shared" si="12"/>
        <v>1857511.1400000001</v>
      </c>
      <c r="M177" s="110">
        <f t="shared" si="13"/>
        <v>1968961.8084000002</v>
      </c>
      <c r="N177" s="110">
        <f t="shared" si="13"/>
        <v>2087099.5169040004</v>
      </c>
    </row>
    <row r="178" spans="1:14" x14ac:dyDescent="0.25">
      <c r="A178" s="109" t="s">
        <v>11</v>
      </c>
      <c r="B178" s="108" t="s">
        <v>311</v>
      </c>
      <c r="C178" s="109" t="s">
        <v>38</v>
      </c>
      <c r="D178" s="110">
        <v>4406204</v>
      </c>
      <c r="F178" s="110">
        <v>350126.19</v>
      </c>
      <c r="G178" s="110">
        <v>0</v>
      </c>
      <c r="H178" s="110">
        <v>2817483.6</v>
      </c>
      <c r="J178" s="110">
        <v>1588720.4</v>
      </c>
      <c r="K178" s="110">
        <v>63.94</v>
      </c>
      <c r="L178" s="111">
        <f t="shared" si="12"/>
        <v>4670576.24</v>
      </c>
      <c r="M178" s="110">
        <f t="shared" si="13"/>
        <v>4950810.8144000005</v>
      </c>
      <c r="N178" s="110">
        <f t="shared" si="13"/>
        <v>5247859.4632640006</v>
      </c>
    </row>
    <row r="179" spans="1:14" x14ac:dyDescent="0.25">
      <c r="A179" s="109" t="s">
        <v>11</v>
      </c>
      <c r="B179" s="108" t="s">
        <v>312</v>
      </c>
      <c r="C179" s="109" t="s">
        <v>40</v>
      </c>
      <c r="D179" s="110">
        <v>112626</v>
      </c>
      <c r="F179" s="110">
        <v>7939.76</v>
      </c>
      <c r="G179" s="110">
        <v>0</v>
      </c>
      <c r="H179" s="110">
        <v>64007.86</v>
      </c>
      <c r="J179" s="110">
        <v>48618.14</v>
      </c>
      <c r="K179" s="110">
        <v>56.83</v>
      </c>
      <c r="L179" s="111">
        <f t="shared" si="12"/>
        <v>119383.56000000001</v>
      </c>
      <c r="M179" s="110">
        <f t="shared" si="13"/>
        <v>126546.57360000002</v>
      </c>
      <c r="N179" s="110">
        <f t="shared" si="13"/>
        <v>134139.36801600002</v>
      </c>
    </row>
    <row r="180" spans="1:14" x14ac:dyDescent="0.25">
      <c r="A180" s="109" t="s">
        <v>11</v>
      </c>
      <c r="B180" s="108" t="s">
        <v>313</v>
      </c>
      <c r="C180" s="109" t="s">
        <v>40</v>
      </c>
      <c r="D180" s="110">
        <v>0</v>
      </c>
      <c r="F180" s="110">
        <v>148.72</v>
      </c>
      <c r="G180" s="110">
        <v>0</v>
      </c>
      <c r="H180" s="110">
        <v>1189.76</v>
      </c>
      <c r="J180" s="110">
        <v>-1189.76</v>
      </c>
      <c r="K180" s="110">
        <v>0</v>
      </c>
      <c r="L180" s="111">
        <f t="shared" si="12"/>
        <v>0</v>
      </c>
      <c r="M180" s="110">
        <f t="shared" si="13"/>
        <v>0</v>
      </c>
      <c r="N180" s="110">
        <f t="shared" si="13"/>
        <v>0</v>
      </c>
    </row>
    <row r="181" spans="1:14" x14ac:dyDescent="0.25">
      <c r="A181" s="109" t="s">
        <v>11</v>
      </c>
      <c r="B181" s="108" t="s">
        <v>314</v>
      </c>
      <c r="C181" s="109" t="s">
        <v>44</v>
      </c>
      <c r="D181" s="110">
        <v>71623</v>
      </c>
      <c r="F181" s="110">
        <v>0</v>
      </c>
      <c r="G181" s="110">
        <v>0</v>
      </c>
      <c r="H181" s="110">
        <v>124793.65</v>
      </c>
      <c r="J181" s="110">
        <v>-53170.65</v>
      </c>
      <c r="K181" s="110">
        <v>174.23</v>
      </c>
      <c r="L181" s="111">
        <f t="shared" si="12"/>
        <v>75920.38</v>
      </c>
      <c r="M181" s="110">
        <f t="shared" si="13"/>
        <v>80475.602800000008</v>
      </c>
      <c r="N181" s="110">
        <f t="shared" si="13"/>
        <v>85304.138968000014</v>
      </c>
    </row>
    <row r="182" spans="1:14" x14ac:dyDescent="0.25">
      <c r="A182" s="109" t="s">
        <v>11</v>
      </c>
      <c r="B182" s="108" t="s">
        <v>315</v>
      </c>
      <c r="C182" s="109" t="s">
        <v>316</v>
      </c>
      <c r="D182" s="110">
        <v>2070314</v>
      </c>
      <c r="F182" s="110">
        <v>2250</v>
      </c>
      <c r="G182" s="110">
        <v>34450.089999999997</v>
      </c>
      <c r="H182" s="110">
        <v>384782.27</v>
      </c>
      <c r="J182" s="110">
        <v>1685531.73</v>
      </c>
      <c r="K182" s="110">
        <v>18.579999999999998</v>
      </c>
      <c r="L182" s="111">
        <f>D182*1.041</f>
        <v>2155196.8739999998</v>
      </c>
      <c r="M182" s="110">
        <f>L182*1.041</f>
        <v>2243559.9458339997</v>
      </c>
      <c r="N182" s="110">
        <f>M182*1.045</f>
        <v>2344520.1433965294</v>
      </c>
    </row>
    <row r="183" spans="1:14" s="9" customFormat="1" x14ac:dyDescent="0.25">
      <c r="A183" s="109" t="s">
        <v>11</v>
      </c>
      <c r="B183" s="108" t="s">
        <v>317</v>
      </c>
      <c r="C183" s="109" t="s">
        <v>713</v>
      </c>
      <c r="D183" s="110">
        <v>4806892</v>
      </c>
      <c r="E183" s="110"/>
      <c r="F183" s="110">
        <v>766197.32</v>
      </c>
      <c r="G183" s="110">
        <v>0</v>
      </c>
      <c r="H183" s="110">
        <v>2139754.66</v>
      </c>
      <c r="I183" s="110"/>
      <c r="J183" s="110">
        <v>2667137.34</v>
      </c>
      <c r="K183" s="110">
        <v>44.51</v>
      </c>
      <c r="L183" s="111">
        <f t="shared" ref="L183:L208" si="14">D183*1.041</f>
        <v>5003974.5719999997</v>
      </c>
      <c r="M183" s="110">
        <f t="shared" ref="M183:M208" si="15">L183*1.041</f>
        <v>5209137.5294519989</v>
      </c>
      <c r="N183" s="110">
        <f t="shared" ref="N183:N208" si="16">M183*1.045</f>
        <v>5443548.7182773389</v>
      </c>
    </row>
    <row r="184" spans="1:14" s="9" customFormat="1" x14ac:dyDescent="0.25">
      <c r="A184" s="109" t="s">
        <v>11</v>
      </c>
      <c r="B184" s="108" t="s">
        <v>318</v>
      </c>
      <c r="C184" s="109" t="s">
        <v>712</v>
      </c>
      <c r="D184" s="110">
        <v>12254409</v>
      </c>
      <c r="E184" s="110"/>
      <c r="F184" s="110">
        <v>541850</v>
      </c>
      <c r="G184" s="110">
        <v>59210.879999999997</v>
      </c>
      <c r="H184" s="110">
        <v>4308106.75</v>
      </c>
      <c r="I184" s="110"/>
      <c r="J184" s="110">
        <v>7946302.25</v>
      </c>
      <c r="K184" s="110">
        <v>35.15</v>
      </c>
      <c r="L184" s="111">
        <f t="shared" si="14"/>
        <v>12756839.768999999</v>
      </c>
      <c r="M184" s="110">
        <f t="shared" si="15"/>
        <v>13279870.199528998</v>
      </c>
      <c r="N184" s="110">
        <f t="shared" si="16"/>
        <v>13877464.358507801</v>
      </c>
    </row>
    <row r="185" spans="1:14" x14ac:dyDescent="0.25">
      <c r="A185" s="109" t="s">
        <v>11</v>
      </c>
      <c r="B185" s="108" t="s">
        <v>320</v>
      </c>
      <c r="C185" s="109" t="s">
        <v>321</v>
      </c>
      <c r="D185" s="110">
        <v>2823155</v>
      </c>
      <c r="F185" s="110">
        <v>269456.74</v>
      </c>
      <c r="G185" s="110">
        <v>0</v>
      </c>
      <c r="H185" s="110">
        <v>967609.5</v>
      </c>
      <c r="J185" s="110">
        <v>1855545.5</v>
      </c>
      <c r="K185" s="110">
        <v>34.270000000000003</v>
      </c>
      <c r="L185" s="111">
        <f t="shared" si="14"/>
        <v>2938904.355</v>
      </c>
      <c r="M185" s="110">
        <f t="shared" si="15"/>
        <v>3059399.4335549995</v>
      </c>
      <c r="N185" s="110">
        <f t="shared" si="16"/>
        <v>3197072.4080649745</v>
      </c>
    </row>
    <row r="186" spans="1:14" s="9" customFormat="1" x14ac:dyDescent="0.25">
      <c r="A186" s="109"/>
      <c r="B186" s="108" t="s">
        <v>706</v>
      </c>
      <c r="C186" s="109" t="s">
        <v>707</v>
      </c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</row>
    <row r="187" spans="1:14" s="9" customFormat="1" x14ac:dyDescent="0.25">
      <c r="A187" s="109"/>
      <c r="B187" s="108" t="s">
        <v>706</v>
      </c>
      <c r="C187" s="109" t="s">
        <v>708</v>
      </c>
      <c r="D187" s="110"/>
      <c r="E187" s="110"/>
      <c r="F187" s="110"/>
      <c r="G187" s="110"/>
      <c r="H187" s="110"/>
      <c r="I187" s="110"/>
      <c r="J187" s="110"/>
      <c r="K187" s="110"/>
      <c r="L187" s="110">
        <v>1000000</v>
      </c>
      <c r="M187" s="110">
        <v>1200000</v>
      </c>
      <c r="N187" s="110">
        <v>1300000</v>
      </c>
    </row>
    <row r="188" spans="1:14" x14ac:dyDescent="0.25">
      <c r="A188" s="109" t="s">
        <v>11</v>
      </c>
      <c r="B188" s="108" t="s">
        <v>322</v>
      </c>
      <c r="C188" s="109" t="s">
        <v>323</v>
      </c>
      <c r="D188" s="110">
        <v>5476208</v>
      </c>
      <c r="F188" s="110">
        <v>0</v>
      </c>
      <c r="G188" s="110">
        <v>0</v>
      </c>
      <c r="H188" s="110">
        <v>6075</v>
      </c>
      <c r="J188" s="110">
        <v>5470133</v>
      </c>
      <c r="K188" s="110">
        <v>0.11</v>
      </c>
      <c r="L188" s="111">
        <f t="shared" si="14"/>
        <v>5700732.5279999999</v>
      </c>
      <c r="M188" s="110">
        <f t="shared" si="15"/>
        <v>5934462.5616479991</v>
      </c>
      <c r="N188" s="110">
        <f t="shared" si="16"/>
        <v>6201513.3769221585</v>
      </c>
    </row>
    <row r="189" spans="1:14" x14ac:dyDescent="0.25">
      <c r="B189" s="108" t="s">
        <v>871</v>
      </c>
      <c r="C189" s="109" t="s">
        <v>922</v>
      </c>
      <c r="L189" s="111">
        <v>6000000</v>
      </c>
      <c r="M189" s="110">
        <f>L189*1.041</f>
        <v>6246000</v>
      </c>
      <c r="N189" s="110">
        <f>M189*1.044</f>
        <v>6520824</v>
      </c>
    </row>
    <row r="190" spans="1:14" x14ac:dyDescent="0.25">
      <c r="A190" s="109" t="s">
        <v>11</v>
      </c>
      <c r="B190" s="108" t="s">
        <v>324</v>
      </c>
      <c r="C190" s="109" t="s">
        <v>325</v>
      </c>
      <c r="D190" s="110">
        <v>1882103</v>
      </c>
      <c r="F190" s="110">
        <v>0</v>
      </c>
      <c r="G190" s="110">
        <v>174000</v>
      </c>
      <c r="H190" s="110">
        <v>1557615.24</v>
      </c>
      <c r="J190" s="110">
        <v>324487.76</v>
      </c>
      <c r="K190" s="110">
        <v>82.75</v>
      </c>
      <c r="L190" s="111">
        <f t="shared" si="14"/>
        <v>1959269.2229999998</v>
      </c>
      <c r="M190" s="110">
        <f t="shared" si="15"/>
        <v>2039599.2611429996</v>
      </c>
      <c r="N190" s="110">
        <f t="shared" si="16"/>
        <v>2131381.2278944342</v>
      </c>
    </row>
    <row r="191" spans="1:14" x14ac:dyDescent="0.25">
      <c r="A191" s="109" t="s">
        <v>11</v>
      </c>
      <c r="B191" s="108" t="s">
        <v>326</v>
      </c>
      <c r="C191" s="109" t="s">
        <v>327</v>
      </c>
      <c r="D191" s="110">
        <v>37642</v>
      </c>
      <c r="F191" s="110">
        <v>0</v>
      </c>
      <c r="G191" s="110">
        <v>0</v>
      </c>
      <c r="H191" s="110">
        <v>23000</v>
      </c>
      <c r="J191" s="110">
        <v>14642</v>
      </c>
      <c r="K191" s="110">
        <v>61.1</v>
      </c>
      <c r="L191" s="111">
        <f t="shared" si="14"/>
        <v>39185.322</v>
      </c>
      <c r="M191" s="110">
        <f t="shared" si="15"/>
        <v>40791.920201999994</v>
      </c>
      <c r="N191" s="110">
        <f t="shared" si="16"/>
        <v>42627.556611089989</v>
      </c>
    </row>
    <row r="192" spans="1:14" x14ac:dyDescent="0.25">
      <c r="A192" s="109" t="s">
        <v>11</v>
      </c>
      <c r="B192" s="108" t="s">
        <v>328</v>
      </c>
      <c r="C192" s="109" t="s">
        <v>155</v>
      </c>
      <c r="D192" s="110">
        <v>1411577</v>
      </c>
      <c r="F192" s="110">
        <v>125347.83</v>
      </c>
      <c r="G192" s="110">
        <v>105000</v>
      </c>
      <c r="H192" s="110">
        <v>427842.18</v>
      </c>
      <c r="J192" s="110">
        <v>983734.82</v>
      </c>
      <c r="K192" s="110">
        <v>30.3</v>
      </c>
      <c r="L192" s="111">
        <f t="shared" si="14"/>
        <v>1469451.6569999999</v>
      </c>
      <c r="M192" s="110">
        <f t="shared" si="15"/>
        <v>1529699.1749369998</v>
      </c>
      <c r="N192" s="110">
        <f t="shared" si="16"/>
        <v>1598535.6378091646</v>
      </c>
    </row>
    <row r="193" spans="1:14" x14ac:dyDescent="0.25">
      <c r="A193" s="109" t="s">
        <v>11</v>
      </c>
      <c r="B193" s="108" t="s">
        <v>329</v>
      </c>
      <c r="C193" s="109" t="s">
        <v>157</v>
      </c>
      <c r="D193" s="110">
        <v>376421</v>
      </c>
      <c r="F193" s="110">
        <v>11948.08</v>
      </c>
      <c r="G193" s="110">
        <v>5061</v>
      </c>
      <c r="H193" s="110">
        <v>16813.98</v>
      </c>
      <c r="J193" s="110">
        <v>359607.02</v>
      </c>
      <c r="K193" s="110">
        <v>4.46</v>
      </c>
      <c r="L193" s="111">
        <f t="shared" si="14"/>
        <v>391854.261</v>
      </c>
      <c r="M193" s="110">
        <f t="shared" si="15"/>
        <v>407920.28570099996</v>
      </c>
      <c r="N193" s="110">
        <f t="shared" si="16"/>
        <v>426276.69855754491</v>
      </c>
    </row>
    <row r="194" spans="1:14" x14ac:dyDescent="0.25">
      <c r="A194" s="109" t="s">
        <v>11</v>
      </c>
      <c r="B194" s="108" t="s">
        <v>330</v>
      </c>
      <c r="C194" s="109" t="s">
        <v>203</v>
      </c>
      <c r="D194" s="110">
        <v>417545</v>
      </c>
      <c r="F194" s="110">
        <v>0</v>
      </c>
      <c r="G194" s="110">
        <v>0</v>
      </c>
      <c r="H194" s="110">
        <v>229053.23</v>
      </c>
      <c r="J194" s="110">
        <v>188491.77</v>
      </c>
      <c r="K194" s="110">
        <v>54.85</v>
      </c>
      <c r="L194" s="111">
        <f t="shared" si="14"/>
        <v>434664.34499999997</v>
      </c>
      <c r="M194" s="110">
        <f t="shared" si="15"/>
        <v>452485.58314499992</v>
      </c>
      <c r="N194" s="110">
        <f t="shared" si="16"/>
        <v>472847.4343865249</v>
      </c>
    </row>
    <row r="195" spans="1:14" x14ac:dyDescent="0.25">
      <c r="A195" s="109" t="s">
        <v>11</v>
      </c>
      <c r="B195" s="108" t="s">
        <v>331</v>
      </c>
      <c r="C195" s="109" t="s">
        <v>107</v>
      </c>
      <c r="D195" s="110">
        <v>335513</v>
      </c>
      <c r="F195" s="110">
        <v>24776.66</v>
      </c>
      <c r="G195" s="110">
        <v>0</v>
      </c>
      <c r="H195" s="110">
        <v>152612.60999999999</v>
      </c>
      <c r="J195" s="110">
        <v>182900.39</v>
      </c>
      <c r="K195" s="110">
        <v>45.48</v>
      </c>
      <c r="L195" s="111">
        <f t="shared" si="14"/>
        <v>349269.033</v>
      </c>
      <c r="M195" s="110">
        <f t="shared" si="15"/>
        <v>363589.06335299998</v>
      </c>
      <c r="N195" s="110">
        <f t="shared" si="16"/>
        <v>379950.57120388496</v>
      </c>
    </row>
    <row r="196" spans="1:14" x14ac:dyDescent="0.25">
      <c r="A196" s="109" t="s">
        <v>11</v>
      </c>
      <c r="B196" s="108" t="s">
        <v>332</v>
      </c>
      <c r="C196" s="109" t="s">
        <v>111</v>
      </c>
      <c r="D196" s="110">
        <v>37642</v>
      </c>
      <c r="F196" s="110">
        <v>0</v>
      </c>
      <c r="G196" s="110">
        <v>1699.2</v>
      </c>
      <c r="H196" s="110">
        <v>1699.2</v>
      </c>
      <c r="J196" s="110">
        <v>35942.800000000003</v>
      </c>
      <c r="K196" s="110">
        <v>4.51</v>
      </c>
      <c r="L196" s="111">
        <f t="shared" si="14"/>
        <v>39185.322</v>
      </c>
      <c r="M196" s="110">
        <f t="shared" si="15"/>
        <v>40791.920201999994</v>
      </c>
      <c r="N196" s="110">
        <f t="shared" si="16"/>
        <v>42627.556611089989</v>
      </c>
    </row>
    <row r="197" spans="1:14" x14ac:dyDescent="0.25">
      <c r="A197" s="109" t="s">
        <v>11</v>
      </c>
      <c r="B197" s="108" t="s">
        <v>333</v>
      </c>
      <c r="C197" s="109" t="s">
        <v>334</v>
      </c>
      <c r="D197" s="110">
        <v>1882103</v>
      </c>
      <c r="F197" s="110">
        <v>22539.13</v>
      </c>
      <c r="G197" s="110">
        <v>0</v>
      </c>
      <c r="H197" s="110">
        <v>734350.32</v>
      </c>
      <c r="J197" s="110">
        <v>1147752.68</v>
      </c>
      <c r="K197" s="110">
        <v>39.01</v>
      </c>
      <c r="L197" s="111">
        <f t="shared" si="14"/>
        <v>1959269.2229999998</v>
      </c>
      <c r="M197" s="110">
        <f t="shared" si="15"/>
        <v>2039599.2611429996</v>
      </c>
      <c r="N197" s="110">
        <f t="shared" si="16"/>
        <v>2131381.2278944342</v>
      </c>
    </row>
    <row r="198" spans="1:14" x14ac:dyDescent="0.25">
      <c r="A198" s="109" t="s">
        <v>11</v>
      </c>
      <c r="B198" s="108" t="s">
        <v>335</v>
      </c>
      <c r="C198" s="109" t="s">
        <v>336</v>
      </c>
      <c r="D198" s="110">
        <v>470526</v>
      </c>
      <c r="F198" s="110">
        <v>0</v>
      </c>
      <c r="G198" s="110">
        <v>0</v>
      </c>
      <c r="H198" s="110">
        <v>0</v>
      </c>
      <c r="J198" s="110">
        <v>470526</v>
      </c>
      <c r="K198" s="110">
        <v>0</v>
      </c>
      <c r="L198" s="111">
        <f t="shared" si="14"/>
        <v>489817.56599999999</v>
      </c>
      <c r="M198" s="110">
        <f t="shared" si="15"/>
        <v>509900.08620599995</v>
      </c>
      <c r="N198" s="110">
        <f t="shared" si="16"/>
        <v>532845.59008526988</v>
      </c>
    </row>
    <row r="199" spans="1:14" x14ac:dyDescent="0.25">
      <c r="A199" s="109" t="s">
        <v>11</v>
      </c>
      <c r="B199" s="108" t="s">
        <v>337</v>
      </c>
      <c r="C199" s="109" t="s">
        <v>338</v>
      </c>
      <c r="D199" s="110">
        <v>0</v>
      </c>
      <c r="F199" s="110">
        <v>0</v>
      </c>
      <c r="G199" s="110">
        <v>0</v>
      </c>
      <c r="H199" s="110">
        <v>66912.69</v>
      </c>
      <c r="J199" s="110">
        <v>-66912.69</v>
      </c>
      <c r="K199" s="110">
        <v>0</v>
      </c>
      <c r="L199" s="111">
        <f t="shared" si="14"/>
        <v>0</v>
      </c>
      <c r="M199" s="110">
        <f t="shared" si="15"/>
        <v>0</v>
      </c>
      <c r="N199" s="110">
        <f t="shared" si="16"/>
        <v>0</v>
      </c>
    </row>
    <row r="200" spans="1:14" x14ac:dyDescent="0.25">
      <c r="A200" s="109" t="s">
        <v>11</v>
      </c>
      <c r="B200" s="108" t="s">
        <v>339</v>
      </c>
      <c r="C200" s="109" t="s">
        <v>338</v>
      </c>
      <c r="D200" s="110">
        <v>15000000</v>
      </c>
      <c r="F200" s="110">
        <v>0</v>
      </c>
      <c r="G200" s="110">
        <v>0</v>
      </c>
      <c r="H200" s="110">
        <v>0</v>
      </c>
      <c r="J200" s="110">
        <v>15000000</v>
      </c>
      <c r="K200" s="110">
        <v>0</v>
      </c>
      <c r="L200" s="111">
        <f>D200*1.041-5000000</f>
        <v>10614999.999999998</v>
      </c>
      <c r="M200" s="110">
        <f t="shared" si="15"/>
        <v>11050214.999999998</v>
      </c>
      <c r="N200" s="110">
        <f t="shared" si="16"/>
        <v>11547474.674999997</v>
      </c>
    </row>
    <row r="201" spans="1:14" x14ac:dyDescent="0.25">
      <c r="A201" s="109" t="s">
        <v>11</v>
      </c>
      <c r="B201" s="108" t="s">
        <v>340</v>
      </c>
      <c r="C201" s="109" t="s">
        <v>341</v>
      </c>
      <c r="D201" s="110">
        <v>2823155</v>
      </c>
      <c r="F201" s="110">
        <v>0</v>
      </c>
      <c r="G201" s="110">
        <v>0</v>
      </c>
      <c r="H201" s="110">
        <v>0</v>
      </c>
      <c r="J201" s="110">
        <v>2823155</v>
      </c>
      <c r="K201" s="110">
        <v>0</v>
      </c>
      <c r="L201" s="111">
        <f t="shared" si="14"/>
        <v>2938904.355</v>
      </c>
      <c r="M201" s="110">
        <f t="shared" si="15"/>
        <v>3059399.4335549995</v>
      </c>
      <c r="N201" s="110">
        <f t="shared" si="16"/>
        <v>3197072.4080649745</v>
      </c>
    </row>
    <row r="202" spans="1:14" x14ac:dyDescent="0.25">
      <c r="A202" s="109" t="s">
        <v>11</v>
      </c>
      <c r="B202" s="108" t="s">
        <v>342</v>
      </c>
      <c r="C202" s="109" t="s">
        <v>343</v>
      </c>
      <c r="D202" s="110">
        <v>25000000</v>
      </c>
      <c r="F202" s="110">
        <v>0</v>
      </c>
      <c r="G202" s="110">
        <v>0</v>
      </c>
      <c r="H202" s="110">
        <v>0</v>
      </c>
      <c r="J202" s="110">
        <v>25000000</v>
      </c>
      <c r="K202" s="110">
        <v>0</v>
      </c>
      <c r="L202" s="111">
        <f>D202*1.041-5000000</f>
        <v>21024999.999999996</v>
      </c>
      <c r="M202" s="110">
        <f t="shared" si="15"/>
        <v>21887024.999999996</v>
      </c>
      <c r="N202" s="110">
        <f t="shared" si="16"/>
        <v>22871941.124999996</v>
      </c>
    </row>
    <row r="203" spans="1:14" x14ac:dyDescent="0.25">
      <c r="A203" s="109" t="s">
        <v>11</v>
      </c>
      <c r="B203" s="108" t="s">
        <v>344</v>
      </c>
      <c r="C203" s="109" t="s">
        <v>345</v>
      </c>
      <c r="D203" s="110">
        <v>79694644</v>
      </c>
      <c r="F203" s="110">
        <v>0</v>
      </c>
      <c r="G203" s="110">
        <v>0</v>
      </c>
      <c r="H203" s="110">
        <v>0</v>
      </c>
      <c r="J203" s="110">
        <v>79694644</v>
      </c>
      <c r="K203" s="110">
        <v>0</v>
      </c>
      <c r="L203" s="111">
        <f>D203*1.041-15000000</f>
        <v>67962124.403999999</v>
      </c>
      <c r="M203" s="110">
        <f t="shared" si="15"/>
        <v>70748571.504563987</v>
      </c>
      <c r="N203" s="110">
        <f t="shared" si="16"/>
        <v>73932257.222269356</v>
      </c>
    </row>
    <row r="204" spans="1:14" x14ac:dyDescent="0.25">
      <c r="A204" s="109" t="s">
        <v>11</v>
      </c>
      <c r="B204" s="108" t="s">
        <v>346</v>
      </c>
      <c r="C204" s="109" t="s">
        <v>347</v>
      </c>
      <c r="D204" s="110">
        <v>5000000</v>
      </c>
      <c r="F204" s="110">
        <v>0</v>
      </c>
      <c r="G204" s="110">
        <v>0</v>
      </c>
      <c r="H204" s="110">
        <v>0</v>
      </c>
      <c r="J204" s="110">
        <v>5000000</v>
      </c>
      <c r="K204" s="110">
        <v>0</v>
      </c>
      <c r="L204" s="111">
        <f t="shared" si="14"/>
        <v>5205000</v>
      </c>
      <c r="M204" s="110">
        <f t="shared" si="15"/>
        <v>5418405</v>
      </c>
      <c r="N204" s="110">
        <f t="shared" si="16"/>
        <v>5662233.2249999996</v>
      </c>
    </row>
    <row r="205" spans="1:14" x14ac:dyDescent="0.25">
      <c r="A205" s="109" t="s">
        <v>11</v>
      </c>
      <c r="B205" s="108" t="s">
        <v>348</v>
      </c>
      <c r="C205" s="109" t="s">
        <v>349</v>
      </c>
      <c r="D205" s="110">
        <v>2823155</v>
      </c>
      <c r="F205" s="110">
        <v>0</v>
      </c>
      <c r="G205" s="110">
        <v>0</v>
      </c>
      <c r="H205" s="110">
        <v>0</v>
      </c>
      <c r="J205" s="110">
        <v>2823155</v>
      </c>
      <c r="K205" s="110">
        <v>0</v>
      </c>
      <c r="L205" s="111">
        <f t="shared" si="14"/>
        <v>2938904.355</v>
      </c>
      <c r="M205" s="110">
        <f t="shared" si="15"/>
        <v>3059399.4335549995</v>
      </c>
      <c r="N205" s="110">
        <f t="shared" si="16"/>
        <v>3197072.4080649745</v>
      </c>
    </row>
    <row r="206" spans="1:14" x14ac:dyDescent="0.25">
      <c r="A206" s="109" t="s">
        <v>11</v>
      </c>
      <c r="B206" s="108" t="s">
        <v>352</v>
      </c>
      <c r="C206" s="109" t="s">
        <v>351</v>
      </c>
      <c r="D206" s="110">
        <v>0</v>
      </c>
      <c r="F206" s="110">
        <v>0</v>
      </c>
      <c r="G206" s="110">
        <v>0</v>
      </c>
      <c r="H206" s="110">
        <v>0</v>
      </c>
      <c r="J206" s="110">
        <v>0</v>
      </c>
      <c r="K206" s="110">
        <v>0</v>
      </c>
      <c r="L206" s="111">
        <f t="shared" si="14"/>
        <v>0</v>
      </c>
      <c r="M206" s="110">
        <f t="shared" si="15"/>
        <v>0</v>
      </c>
      <c r="N206" s="110">
        <f t="shared" si="16"/>
        <v>0</v>
      </c>
    </row>
    <row r="207" spans="1:14" x14ac:dyDescent="0.25">
      <c r="A207" s="109" t="s">
        <v>11</v>
      </c>
      <c r="B207" s="108" t="s">
        <v>353</v>
      </c>
      <c r="C207" s="109" t="s">
        <v>354</v>
      </c>
      <c r="D207" s="110">
        <v>0</v>
      </c>
      <c r="F207" s="110">
        <v>0</v>
      </c>
      <c r="G207" s="110">
        <v>0</v>
      </c>
      <c r="H207" s="110">
        <v>0</v>
      </c>
      <c r="J207" s="110">
        <v>0</v>
      </c>
      <c r="K207" s="110">
        <v>0</v>
      </c>
      <c r="L207" s="111">
        <f t="shared" si="14"/>
        <v>0</v>
      </c>
      <c r="M207" s="110">
        <f t="shared" si="15"/>
        <v>0</v>
      </c>
      <c r="N207" s="110">
        <f t="shared" si="16"/>
        <v>0</v>
      </c>
    </row>
    <row r="208" spans="1:14" x14ac:dyDescent="0.25">
      <c r="A208" s="109" t="s">
        <v>11</v>
      </c>
      <c r="B208" s="108" t="s">
        <v>355</v>
      </c>
      <c r="C208" s="109" t="s">
        <v>354</v>
      </c>
      <c r="D208" s="110">
        <v>0</v>
      </c>
      <c r="F208" s="110">
        <v>0</v>
      </c>
      <c r="G208" s="110">
        <v>0</v>
      </c>
      <c r="H208" s="110">
        <v>0</v>
      </c>
      <c r="J208" s="110">
        <v>0</v>
      </c>
      <c r="K208" s="110">
        <v>0</v>
      </c>
      <c r="L208" s="111">
        <f t="shared" si="14"/>
        <v>0</v>
      </c>
      <c r="M208" s="110">
        <f t="shared" si="15"/>
        <v>0</v>
      </c>
      <c r="N208" s="110">
        <f t="shared" si="16"/>
        <v>0</v>
      </c>
    </row>
    <row r="209" spans="1:18" s="4" customFormat="1" x14ac:dyDescent="0.25">
      <c r="A209" s="112"/>
      <c r="B209" s="113"/>
      <c r="C209" s="112" t="s">
        <v>682</v>
      </c>
      <c r="D209" s="114">
        <f t="shared" ref="D209:N209" si="17">SUM(D156:D208)</f>
        <v>206923230</v>
      </c>
      <c r="E209" s="114">
        <f t="shared" si="17"/>
        <v>0</v>
      </c>
      <c r="F209" s="114">
        <f t="shared" si="17"/>
        <v>4956410.2400000012</v>
      </c>
      <c r="G209" s="114">
        <f t="shared" si="17"/>
        <v>379421.17</v>
      </c>
      <c r="H209" s="114">
        <f t="shared" si="17"/>
        <v>37259737.059999995</v>
      </c>
      <c r="I209" s="114">
        <f t="shared" si="17"/>
        <v>0</v>
      </c>
      <c r="J209" s="114">
        <f t="shared" si="17"/>
        <v>169663492.94</v>
      </c>
      <c r="K209" s="114">
        <f t="shared" si="17"/>
        <v>1835.3799999999997</v>
      </c>
      <c r="L209" s="114">
        <f t="shared" si="17"/>
        <v>198210786.72400001</v>
      </c>
      <c r="M209" s="114">
        <f t="shared" si="17"/>
        <v>207348355.53132397</v>
      </c>
      <c r="N209" s="114">
        <f t="shared" si="17"/>
        <v>217431713.53923753</v>
      </c>
    </row>
    <row r="210" spans="1:18" x14ac:dyDescent="0.25">
      <c r="B210" s="108"/>
    </row>
    <row r="211" spans="1:18" x14ac:dyDescent="0.25">
      <c r="A211" s="109" t="s">
        <v>11</v>
      </c>
      <c r="B211" s="108" t="s">
        <v>356</v>
      </c>
      <c r="C211" s="109" t="s">
        <v>357</v>
      </c>
      <c r="D211" s="110">
        <v>945625</v>
      </c>
      <c r="F211" s="110">
        <v>69816.12</v>
      </c>
      <c r="G211" s="110">
        <v>0</v>
      </c>
      <c r="H211" s="110">
        <v>418896.72</v>
      </c>
      <c r="J211" s="110">
        <v>526728.28</v>
      </c>
      <c r="K211" s="110">
        <v>44.29</v>
      </c>
      <c r="L211" s="111">
        <f>D211*1.06</f>
        <v>1002362.5</v>
      </c>
      <c r="M211" s="110">
        <f>L211*1.06</f>
        <v>1062504.25</v>
      </c>
      <c r="N211" s="110">
        <f>M211*1.06</f>
        <v>1126254.5050000001</v>
      </c>
    </row>
    <row r="212" spans="1:18" x14ac:dyDescent="0.25">
      <c r="A212" s="109" t="s">
        <v>11</v>
      </c>
      <c r="B212" s="108" t="s">
        <v>358</v>
      </c>
      <c r="C212" s="109" t="s">
        <v>359</v>
      </c>
      <c r="D212" s="110">
        <v>25487</v>
      </c>
      <c r="F212" s="110">
        <v>1999</v>
      </c>
      <c r="G212" s="110">
        <v>0</v>
      </c>
      <c r="H212" s="110">
        <v>11994</v>
      </c>
      <c r="J212" s="110">
        <v>13493</v>
      </c>
      <c r="K212" s="110">
        <v>47.05</v>
      </c>
      <c r="L212" s="111">
        <f t="shared" ref="L212:L217" si="18">D212*1.06</f>
        <v>27016.22</v>
      </c>
      <c r="M212" s="110">
        <f t="shared" ref="M212:N217" si="19">L212*1.06</f>
        <v>28637.193200000002</v>
      </c>
      <c r="N212" s="110">
        <f t="shared" si="19"/>
        <v>30355.424792000002</v>
      </c>
    </row>
    <row r="213" spans="1:18" x14ac:dyDescent="0.25">
      <c r="A213" s="109" t="s">
        <v>11</v>
      </c>
      <c r="B213" s="108" t="s">
        <v>360</v>
      </c>
      <c r="C213" s="109" t="s">
        <v>361</v>
      </c>
      <c r="D213" s="110">
        <v>76500</v>
      </c>
      <c r="F213" s="110">
        <v>10000</v>
      </c>
      <c r="G213" s="110">
        <v>0</v>
      </c>
      <c r="H213" s="110">
        <v>60000</v>
      </c>
      <c r="J213" s="110">
        <v>16500</v>
      </c>
      <c r="K213" s="110">
        <v>78.430000000000007</v>
      </c>
      <c r="L213" s="111">
        <f t="shared" si="18"/>
        <v>81090</v>
      </c>
      <c r="M213" s="110">
        <f t="shared" si="19"/>
        <v>85955.400000000009</v>
      </c>
      <c r="N213" s="110">
        <f t="shared" si="19"/>
        <v>91112.724000000017</v>
      </c>
    </row>
    <row r="214" spans="1:18" x14ac:dyDescent="0.25">
      <c r="A214" s="109" t="s">
        <v>11</v>
      </c>
      <c r="B214" s="108" t="s">
        <v>362</v>
      </c>
      <c r="C214" s="109" t="s">
        <v>363</v>
      </c>
      <c r="D214" s="110">
        <v>77318</v>
      </c>
      <c r="F214" s="110">
        <v>12566.9</v>
      </c>
      <c r="G214" s="110">
        <v>0</v>
      </c>
      <c r="H214" s="110">
        <v>75401.399999999994</v>
      </c>
      <c r="J214" s="110">
        <v>1916.6</v>
      </c>
      <c r="K214" s="110">
        <v>97.52</v>
      </c>
      <c r="L214" s="111">
        <f t="shared" si="18"/>
        <v>81957.08</v>
      </c>
      <c r="M214" s="110">
        <f t="shared" si="19"/>
        <v>86874.50480000001</v>
      </c>
      <c r="N214" s="110">
        <f t="shared" si="19"/>
        <v>92086.975088000021</v>
      </c>
    </row>
    <row r="215" spans="1:18" x14ac:dyDescent="0.25">
      <c r="A215" s="109" t="s">
        <v>11</v>
      </c>
      <c r="B215" s="108" t="s">
        <v>364</v>
      </c>
      <c r="C215" s="109" t="s">
        <v>365</v>
      </c>
      <c r="D215" s="110">
        <v>0</v>
      </c>
      <c r="F215" s="110">
        <v>148.72</v>
      </c>
      <c r="G215" s="110">
        <v>0</v>
      </c>
      <c r="H215" s="110">
        <v>892.32</v>
      </c>
      <c r="J215" s="110">
        <v>-892.32</v>
      </c>
      <c r="K215" s="110">
        <v>0</v>
      </c>
      <c r="L215" s="111">
        <f t="shared" si="18"/>
        <v>0</v>
      </c>
      <c r="M215" s="110">
        <f t="shared" si="19"/>
        <v>0</v>
      </c>
      <c r="N215" s="110">
        <f t="shared" si="19"/>
        <v>0</v>
      </c>
    </row>
    <row r="216" spans="1:18" x14ac:dyDescent="0.25">
      <c r="A216" s="109" t="s">
        <v>11</v>
      </c>
      <c r="B216" s="108" t="s">
        <v>366</v>
      </c>
      <c r="C216" s="109" t="s">
        <v>367</v>
      </c>
      <c r="D216" s="110">
        <v>0</v>
      </c>
      <c r="F216" s="110">
        <v>0</v>
      </c>
      <c r="G216" s="110">
        <v>0</v>
      </c>
      <c r="H216" s="110">
        <v>32.6</v>
      </c>
      <c r="J216" s="110">
        <v>-32.6</v>
      </c>
      <c r="K216" s="110">
        <v>0</v>
      </c>
      <c r="L216" s="111">
        <f t="shared" si="18"/>
        <v>0</v>
      </c>
      <c r="M216" s="110">
        <f t="shared" si="19"/>
        <v>0</v>
      </c>
      <c r="N216" s="110">
        <f t="shared" si="19"/>
        <v>0</v>
      </c>
    </row>
    <row r="217" spans="1:18" x14ac:dyDescent="0.25">
      <c r="A217" s="109" t="s">
        <v>11</v>
      </c>
      <c r="B217" s="108" t="s">
        <v>368</v>
      </c>
      <c r="C217" s="109" t="s">
        <v>21</v>
      </c>
      <c r="D217" s="110">
        <v>0</v>
      </c>
      <c r="F217" s="110">
        <v>0</v>
      </c>
      <c r="G217" s="110">
        <v>0</v>
      </c>
      <c r="H217" s="110">
        <v>-318140.21000000002</v>
      </c>
      <c r="J217" s="110">
        <v>318140.21000000002</v>
      </c>
      <c r="K217" s="110">
        <v>0</v>
      </c>
      <c r="L217" s="111">
        <f t="shared" si="18"/>
        <v>0</v>
      </c>
      <c r="M217" s="110">
        <f t="shared" si="19"/>
        <v>0</v>
      </c>
      <c r="N217" s="110">
        <f t="shared" si="19"/>
        <v>0</v>
      </c>
    </row>
    <row r="218" spans="1:18" x14ac:dyDescent="0.25">
      <c r="A218" s="109" t="s">
        <v>11</v>
      </c>
      <c r="B218" s="108" t="s">
        <v>369</v>
      </c>
      <c r="C218" s="109" t="s">
        <v>370</v>
      </c>
      <c r="D218" s="110">
        <v>8443903</v>
      </c>
      <c r="F218" s="110">
        <v>527832.32999999996</v>
      </c>
      <c r="G218" s="110">
        <v>971341.52</v>
      </c>
      <c r="H218" s="110">
        <v>7472561.4800000004</v>
      </c>
      <c r="J218" s="110">
        <v>971341.52</v>
      </c>
      <c r="K218" s="110">
        <v>88.49</v>
      </c>
      <c r="L218" s="116">
        <v>17000000</v>
      </c>
      <c r="M218" s="117">
        <v>10000000</v>
      </c>
      <c r="N218" s="117">
        <v>10000000</v>
      </c>
      <c r="O218" t="s">
        <v>738</v>
      </c>
      <c r="P218" s="39">
        <f>L218+L219+L220+L221+L222+20000000</f>
        <v>90000000</v>
      </c>
      <c r="Q218" s="39">
        <f>M218+M219+M220+M221+M222+20000000</f>
        <v>70000000</v>
      </c>
      <c r="R218" s="39">
        <f>N218+N219+N220+N221+N222+20000000</f>
        <v>70000000</v>
      </c>
    </row>
    <row r="219" spans="1:18" x14ac:dyDescent="0.25">
      <c r="A219" s="109" t="s">
        <v>11</v>
      </c>
      <c r="B219" s="108" t="s">
        <v>371</v>
      </c>
      <c r="C219" s="109" t="s">
        <v>370</v>
      </c>
      <c r="D219" s="110">
        <v>26361132</v>
      </c>
      <c r="F219" s="110">
        <v>0</v>
      </c>
      <c r="G219" s="110">
        <v>13131063.199999999</v>
      </c>
      <c r="H219" s="110">
        <v>13230068.800000001</v>
      </c>
      <c r="J219" s="110">
        <v>13131063.199999999</v>
      </c>
      <c r="K219" s="110">
        <v>50.18</v>
      </c>
      <c r="L219" s="116">
        <v>17000000</v>
      </c>
      <c r="M219" s="117">
        <v>10000000</v>
      </c>
      <c r="N219" s="117">
        <v>10000000</v>
      </c>
      <c r="O219" t="s">
        <v>738</v>
      </c>
    </row>
    <row r="220" spans="1:18" x14ac:dyDescent="0.25">
      <c r="A220" s="109" t="s">
        <v>11</v>
      </c>
      <c r="B220" s="108" t="s">
        <v>372</v>
      </c>
      <c r="C220" s="109" t="s">
        <v>370</v>
      </c>
      <c r="D220" s="110">
        <v>8000000</v>
      </c>
      <c r="F220" s="110">
        <v>163162.5</v>
      </c>
      <c r="G220" s="110">
        <v>5854700.0800000001</v>
      </c>
      <c r="H220" s="110">
        <v>1854079.92</v>
      </c>
      <c r="J220" s="110">
        <v>6145920.0800000001</v>
      </c>
      <c r="K220" s="110">
        <v>23.17</v>
      </c>
      <c r="L220" s="116">
        <v>2000000</v>
      </c>
      <c r="M220" s="117">
        <v>10000000</v>
      </c>
      <c r="N220" s="117">
        <v>10000000</v>
      </c>
      <c r="O220" t="s">
        <v>738</v>
      </c>
    </row>
    <row r="221" spans="1:18" x14ac:dyDescent="0.25">
      <c r="A221" s="109" t="s">
        <v>11</v>
      </c>
      <c r="B221" s="108" t="s">
        <v>373</v>
      </c>
      <c r="C221" s="109" t="s">
        <v>370</v>
      </c>
      <c r="D221" s="110">
        <v>25186127</v>
      </c>
      <c r="F221" s="110">
        <v>0</v>
      </c>
      <c r="G221" s="110">
        <v>2774321.15</v>
      </c>
      <c r="H221" s="110">
        <v>20613969.850000001</v>
      </c>
      <c r="J221" s="110">
        <v>4572157.1500000004</v>
      </c>
      <c r="K221" s="110">
        <v>81.84</v>
      </c>
      <c r="L221" s="116">
        <v>17000000</v>
      </c>
      <c r="M221" s="117">
        <v>10000000</v>
      </c>
      <c r="N221" s="117">
        <v>10000000</v>
      </c>
      <c r="O221" t="s">
        <v>738</v>
      </c>
    </row>
    <row r="222" spans="1:18" x14ac:dyDescent="0.25">
      <c r="A222" s="109" t="s">
        <v>11</v>
      </c>
      <c r="B222" s="108" t="s">
        <v>374</v>
      </c>
      <c r="C222" s="109" t="s">
        <v>370</v>
      </c>
      <c r="D222" s="110">
        <v>24257039</v>
      </c>
      <c r="F222" s="110">
        <v>301727.7</v>
      </c>
      <c r="G222" s="110">
        <v>4554002.3600000003</v>
      </c>
      <c r="H222" s="110">
        <v>19700872.640000001</v>
      </c>
      <c r="J222" s="110">
        <v>4556166.3600000003</v>
      </c>
      <c r="K222" s="110">
        <v>81.209999999999994</v>
      </c>
      <c r="L222" s="116">
        <v>17000000</v>
      </c>
      <c r="M222" s="117">
        <v>10000000</v>
      </c>
      <c r="N222" s="117">
        <v>10000000</v>
      </c>
      <c r="O222" t="s">
        <v>738</v>
      </c>
    </row>
    <row r="223" spans="1:18" x14ac:dyDescent="0.25">
      <c r="A223" s="109" t="s">
        <v>11</v>
      </c>
      <c r="B223" s="108" t="s">
        <v>375</v>
      </c>
      <c r="C223" s="109" t="s">
        <v>334</v>
      </c>
      <c r="D223" s="110">
        <v>500000</v>
      </c>
      <c r="F223" s="110">
        <v>0</v>
      </c>
      <c r="G223" s="110">
        <v>0</v>
      </c>
      <c r="H223" s="110">
        <v>0</v>
      </c>
      <c r="J223" s="110">
        <v>500000</v>
      </c>
      <c r="K223" s="110">
        <v>0</v>
      </c>
      <c r="L223" s="111">
        <f>D223*1.041</f>
        <v>520499.99999999994</v>
      </c>
      <c r="M223" s="110">
        <f>L223*1.041</f>
        <v>541840.49999999988</v>
      </c>
      <c r="N223" s="110">
        <f>M223*1.041</f>
        <v>564055.96049999981</v>
      </c>
    </row>
    <row r="224" spans="1:18" x14ac:dyDescent="0.25">
      <c r="A224" s="109" t="s">
        <v>11</v>
      </c>
      <c r="B224" s="108" t="s">
        <v>376</v>
      </c>
      <c r="C224" s="109" t="s">
        <v>169</v>
      </c>
      <c r="D224" s="110">
        <v>1300000</v>
      </c>
      <c r="F224" s="110">
        <v>0</v>
      </c>
      <c r="G224" s="110">
        <v>0</v>
      </c>
      <c r="H224" s="110">
        <v>0</v>
      </c>
      <c r="J224" s="110">
        <v>1300000</v>
      </c>
      <c r="K224" s="110">
        <v>0</v>
      </c>
      <c r="L224" s="111">
        <f>D224*1.041</f>
        <v>1353300</v>
      </c>
      <c r="M224" s="110">
        <f>L224*1.041</f>
        <v>1408785.2999999998</v>
      </c>
      <c r="N224" s="110">
        <f>M224*1.041</f>
        <v>1466545.4972999997</v>
      </c>
    </row>
    <row r="225" spans="1:15" x14ac:dyDescent="0.25">
      <c r="A225" s="109" t="s">
        <v>11</v>
      </c>
      <c r="B225" s="108" t="s">
        <v>377</v>
      </c>
      <c r="C225" s="109" t="s">
        <v>13</v>
      </c>
      <c r="D225" s="110">
        <v>2831563</v>
      </c>
      <c r="F225" s="110">
        <v>0</v>
      </c>
      <c r="G225" s="110">
        <v>0</v>
      </c>
      <c r="H225" s="110">
        <v>0</v>
      </c>
      <c r="J225" s="110">
        <v>2831563</v>
      </c>
      <c r="K225" s="110">
        <v>0</v>
      </c>
      <c r="L225" s="111">
        <f>D225*1.06</f>
        <v>3001456.7800000003</v>
      </c>
      <c r="M225" s="110">
        <f>L225*1.06</f>
        <v>3181544.1868000003</v>
      </c>
      <c r="N225" s="110">
        <f>M225*1.06</f>
        <v>3372436.8380080005</v>
      </c>
    </row>
    <row r="226" spans="1:15" x14ac:dyDescent="0.25">
      <c r="A226" s="109" t="s">
        <v>11</v>
      </c>
      <c r="B226" s="108" t="s">
        <v>378</v>
      </c>
      <c r="C226" s="109" t="s">
        <v>13</v>
      </c>
      <c r="D226" s="110">
        <v>31210943</v>
      </c>
      <c r="F226" s="110">
        <v>2307059.87</v>
      </c>
      <c r="G226" s="110">
        <v>0</v>
      </c>
      <c r="H226" s="110">
        <v>19677148.530000001</v>
      </c>
      <c r="J226" s="110">
        <v>11533794.470000001</v>
      </c>
      <c r="K226" s="110">
        <v>63.04</v>
      </c>
      <c r="L226" s="111">
        <f t="shared" ref="L226:L244" si="20">D226*1.06</f>
        <v>33083599.580000002</v>
      </c>
      <c r="M226" s="110">
        <f t="shared" ref="M226:N244" si="21">L226*1.06</f>
        <v>35068615.554800004</v>
      </c>
      <c r="N226" s="110">
        <f t="shared" si="21"/>
        <v>37172732.488088004</v>
      </c>
    </row>
    <row r="227" spans="1:15" x14ac:dyDescent="0.25">
      <c r="A227" s="109" t="s">
        <v>11</v>
      </c>
      <c r="B227" s="108" t="s">
        <v>379</v>
      </c>
      <c r="C227" s="109" t="s">
        <v>13</v>
      </c>
      <c r="D227" s="110">
        <v>3515382</v>
      </c>
      <c r="F227" s="110">
        <v>314076.79999999999</v>
      </c>
      <c r="G227" s="110">
        <v>0</v>
      </c>
      <c r="H227" s="110">
        <v>2618136.56</v>
      </c>
      <c r="J227" s="110">
        <v>897245.44</v>
      </c>
      <c r="K227" s="110">
        <v>74.47</v>
      </c>
      <c r="L227" s="111">
        <f t="shared" si="20"/>
        <v>3726304.9200000004</v>
      </c>
      <c r="M227" s="110">
        <f t="shared" si="21"/>
        <v>3949883.2152000004</v>
      </c>
      <c r="N227" s="110">
        <f t="shared" si="21"/>
        <v>4186876.2081120005</v>
      </c>
    </row>
    <row r="228" spans="1:15" x14ac:dyDescent="0.25">
      <c r="A228" s="109" t="s">
        <v>11</v>
      </c>
      <c r="B228" s="108" t="s">
        <v>380</v>
      </c>
      <c r="C228" s="109" t="s">
        <v>13</v>
      </c>
      <c r="D228" s="110">
        <v>27330036</v>
      </c>
      <c r="F228" s="110">
        <v>1825258.42</v>
      </c>
      <c r="G228" s="110">
        <v>0</v>
      </c>
      <c r="H228" s="110">
        <v>16227901.890000001</v>
      </c>
      <c r="J228" s="110">
        <v>11102134.109999999</v>
      </c>
      <c r="K228" s="110">
        <v>59.37</v>
      </c>
      <c r="L228" s="111">
        <f t="shared" si="20"/>
        <v>28969838.16</v>
      </c>
      <c r="M228" s="110">
        <f t="shared" si="21"/>
        <v>30708028.4496</v>
      </c>
      <c r="N228" s="110">
        <f t="shared" si="21"/>
        <v>32550510.156576</v>
      </c>
    </row>
    <row r="229" spans="1:15" x14ac:dyDescent="0.25">
      <c r="A229" s="109" t="s">
        <v>11</v>
      </c>
      <c r="B229" s="108" t="s">
        <v>381</v>
      </c>
      <c r="C229" s="109" t="s">
        <v>13</v>
      </c>
      <c r="D229" s="110">
        <v>60225562</v>
      </c>
      <c r="F229" s="110">
        <v>2207552.12</v>
      </c>
      <c r="G229" s="110">
        <v>0</v>
      </c>
      <c r="H229" s="110">
        <v>20152852.390000001</v>
      </c>
      <c r="J229" s="110">
        <v>40072709.609999999</v>
      </c>
      <c r="K229" s="110">
        <v>33.46</v>
      </c>
      <c r="L229" s="111">
        <f t="shared" si="20"/>
        <v>63839095.720000006</v>
      </c>
      <c r="M229" s="110">
        <f t="shared" si="21"/>
        <v>67669441.463200003</v>
      </c>
      <c r="N229" s="110">
        <f t="shared" si="21"/>
        <v>71729607.950992003</v>
      </c>
    </row>
    <row r="230" spans="1:15" x14ac:dyDescent="0.25">
      <c r="A230" s="109" t="s">
        <v>11</v>
      </c>
      <c r="B230" s="108" t="s">
        <v>382</v>
      </c>
      <c r="C230" s="109" t="s">
        <v>13</v>
      </c>
      <c r="D230" s="110">
        <v>5780622</v>
      </c>
      <c r="F230" s="110">
        <v>2261353.85</v>
      </c>
      <c r="G230" s="110">
        <v>0</v>
      </c>
      <c r="H230" s="110">
        <v>19855575.449999999</v>
      </c>
      <c r="J230" s="110">
        <v>-14074953.449999999</v>
      </c>
      <c r="K230" s="110">
        <v>343.48</v>
      </c>
      <c r="L230" s="111">
        <f t="shared" si="20"/>
        <v>6127459.3200000003</v>
      </c>
      <c r="M230" s="110">
        <f t="shared" si="21"/>
        <v>6495106.8792000003</v>
      </c>
      <c r="N230" s="110">
        <f t="shared" si="21"/>
        <v>6884813.2919520009</v>
      </c>
    </row>
    <row r="231" spans="1:15" s="9" customFormat="1" x14ac:dyDescent="0.25">
      <c r="A231" s="155"/>
      <c r="B231" s="156"/>
      <c r="C231" s="155" t="s">
        <v>916</v>
      </c>
      <c r="D231" s="157"/>
      <c r="E231" s="157"/>
      <c r="F231" s="157"/>
      <c r="G231" s="157"/>
      <c r="H231" s="157"/>
      <c r="I231" s="157"/>
      <c r="J231" s="157"/>
      <c r="K231" s="157"/>
      <c r="L231" s="158"/>
      <c r="M231" s="158"/>
      <c r="N231" s="157"/>
      <c r="O231" s="9" t="s">
        <v>739</v>
      </c>
    </row>
    <row r="232" spans="1:15" x14ac:dyDescent="0.25">
      <c r="A232" s="109" t="s">
        <v>11</v>
      </c>
      <c r="B232" s="108" t="s">
        <v>383</v>
      </c>
      <c r="C232" s="109" t="s">
        <v>15</v>
      </c>
      <c r="D232" s="110">
        <v>3187500</v>
      </c>
      <c r="F232" s="110">
        <v>0</v>
      </c>
      <c r="G232" s="110">
        <v>0</v>
      </c>
      <c r="H232" s="110">
        <v>0</v>
      </c>
      <c r="J232" s="110">
        <v>3187500</v>
      </c>
      <c r="K232" s="110">
        <v>0</v>
      </c>
      <c r="L232" s="111">
        <f t="shared" si="20"/>
        <v>3378750</v>
      </c>
      <c r="M232" s="110">
        <f t="shared" si="21"/>
        <v>3581475</v>
      </c>
      <c r="N232" s="110">
        <f t="shared" si="21"/>
        <v>3796363.5</v>
      </c>
    </row>
    <row r="233" spans="1:15" x14ac:dyDescent="0.25">
      <c r="A233" s="109" t="s">
        <v>11</v>
      </c>
      <c r="B233" s="108" t="s">
        <v>384</v>
      </c>
      <c r="C233" s="109" t="s">
        <v>17</v>
      </c>
      <c r="D233" s="110">
        <v>368596</v>
      </c>
      <c r="F233" s="110">
        <v>22473.279999999999</v>
      </c>
      <c r="G233" s="110">
        <v>0</v>
      </c>
      <c r="H233" s="110">
        <v>185104.88</v>
      </c>
      <c r="J233" s="110">
        <v>183491.12</v>
      </c>
      <c r="K233" s="110">
        <v>50.21</v>
      </c>
      <c r="L233" s="111">
        <f t="shared" si="20"/>
        <v>390711.76</v>
      </c>
      <c r="M233" s="110">
        <f t="shared" si="21"/>
        <v>414154.46560000005</v>
      </c>
      <c r="N233" s="110">
        <f t="shared" si="21"/>
        <v>439003.73353600007</v>
      </c>
    </row>
    <row r="234" spans="1:15" x14ac:dyDescent="0.25">
      <c r="A234" s="109" t="s">
        <v>11</v>
      </c>
      <c r="B234" s="108" t="s">
        <v>385</v>
      </c>
      <c r="C234" s="109" t="s">
        <v>17</v>
      </c>
      <c r="D234" s="110">
        <v>557924</v>
      </c>
      <c r="F234" s="110">
        <v>39524.65</v>
      </c>
      <c r="G234" s="110">
        <v>0</v>
      </c>
      <c r="H234" s="110">
        <v>317526.86</v>
      </c>
      <c r="J234" s="110">
        <v>240397.14</v>
      </c>
      <c r="K234" s="110">
        <v>56.91</v>
      </c>
      <c r="L234" s="111">
        <f t="shared" si="20"/>
        <v>591399.44000000006</v>
      </c>
      <c r="M234" s="110">
        <f t="shared" si="21"/>
        <v>626883.40640000009</v>
      </c>
      <c r="N234" s="110">
        <f t="shared" si="21"/>
        <v>664496.41078400018</v>
      </c>
    </row>
    <row r="235" spans="1:15" x14ac:dyDescent="0.25">
      <c r="A235" s="109" t="s">
        <v>11</v>
      </c>
      <c r="B235" s="108" t="s">
        <v>386</v>
      </c>
      <c r="C235" s="109" t="s">
        <v>17</v>
      </c>
      <c r="D235" s="110">
        <v>1577660</v>
      </c>
      <c r="F235" s="110">
        <v>17220.11</v>
      </c>
      <c r="G235" s="110">
        <v>0</v>
      </c>
      <c r="H235" s="110">
        <v>154681.31</v>
      </c>
      <c r="J235" s="110">
        <v>1422978.69</v>
      </c>
      <c r="K235" s="110">
        <v>9.8000000000000007</v>
      </c>
      <c r="L235" s="111">
        <f t="shared" si="20"/>
        <v>1672319.6</v>
      </c>
      <c r="M235" s="110">
        <f t="shared" si="21"/>
        <v>1772658.7760000003</v>
      </c>
      <c r="N235" s="110">
        <f t="shared" si="21"/>
        <v>1879018.3025600004</v>
      </c>
    </row>
    <row r="236" spans="1:15" x14ac:dyDescent="0.25">
      <c r="A236" s="109" t="s">
        <v>11</v>
      </c>
      <c r="B236" s="108" t="s">
        <v>387</v>
      </c>
      <c r="C236" s="109" t="s">
        <v>17</v>
      </c>
      <c r="D236" s="110">
        <v>45973</v>
      </c>
      <c r="F236" s="110">
        <v>43382.69</v>
      </c>
      <c r="G236" s="110">
        <v>0</v>
      </c>
      <c r="H236" s="110">
        <v>353410.14</v>
      </c>
      <c r="J236" s="110">
        <v>-307437.14</v>
      </c>
      <c r="K236" s="110">
        <v>768.73</v>
      </c>
      <c r="L236" s="111">
        <f t="shared" si="20"/>
        <v>48731.380000000005</v>
      </c>
      <c r="M236" s="110">
        <f t="shared" si="21"/>
        <v>51655.262800000004</v>
      </c>
      <c r="N236" s="110">
        <f t="shared" si="21"/>
        <v>54754.578568000004</v>
      </c>
    </row>
    <row r="237" spans="1:15" x14ac:dyDescent="0.25">
      <c r="A237" s="109" t="s">
        <v>11</v>
      </c>
      <c r="B237" s="108" t="s">
        <v>388</v>
      </c>
      <c r="C237" s="109" t="s">
        <v>19</v>
      </c>
      <c r="D237" s="110">
        <v>1917375</v>
      </c>
      <c r="F237" s="110">
        <v>0</v>
      </c>
      <c r="G237" s="110">
        <v>0</v>
      </c>
      <c r="H237" s="110">
        <v>162485.49</v>
      </c>
      <c r="J237" s="110">
        <v>1754889.51</v>
      </c>
      <c r="K237" s="110">
        <v>8.4700000000000006</v>
      </c>
      <c r="L237" s="111">
        <f t="shared" si="20"/>
        <v>2032417.5</v>
      </c>
      <c r="M237" s="110">
        <f t="shared" si="21"/>
        <v>2154362.5500000003</v>
      </c>
      <c r="N237" s="110">
        <f t="shared" si="21"/>
        <v>2283624.3030000003</v>
      </c>
    </row>
    <row r="238" spans="1:15" x14ac:dyDescent="0.25">
      <c r="A238" s="109" t="s">
        <v>11</v>
      </c>
      <c r="B238" s="108" t="s">
        <v>389</v>
      </c>
      <c r="C238" s="109" t="s">
        <v>21</v>
      </c>
      <c r="D238" s="110">
        <v>11564364</v>
      </c>
      <c r="F238" s="110">
        <v>299739.64</v>
      </c>
      <c r="G238" s="110">
        <v>0</v>
      </c>
      <c r="H238" s="110">
        <v>2611373.7400000002</v>
      </c>
      <c r="J238" s="110">
        <v>8952990.2599999998</v>
      </c>
      <c r="K238" s="110">
        <v>22.58</v>
      </c>
      <c r="L238" s="111">
        <f t="shared" si="20"/>
        <v>12258225.84</v>
      </c>
      <c r="M238" s="110">
        <f t="shared" si="21"/>
        <v>12993719.3904</v>
      </c>
      <c r="N238" s="110">
        <f t="shared" si="21"/>
        <v>13773342.553824</v>
      </c>
    </row>
    <row r="239" spans="1:15" x14ac:dyDescent="0.25">
      <c r="A239" s="109" t="s">
        <v>11</v>
      </c>
      <c r="B239" s="108" t="s">
        <v>390</v>
      </c>
      <c r="C239" s="109" t="s">
        <v>128</v>
      </c>
      <c r="D239" s="110">
        <v>14310692</v>
      </c>
      <c r="F239" s="110">
        <v>316438.56</v>
      </c>
      <c r="G239" s="110">
        <v>0</v>
      </c>
      <c r="H239" s="110">
        <v>957272.38</v>
      </c>
      <c r="J239" s="110">
        <v>13353419.619999999</v>
      </c>
      <c r="K239" s="110">
        <v>6.68</v>
      </c>
      <c r="L239" s="111">
        <f t="shared" si="20"/>
        <v>15169333.520000001</v>
      </c>
      <c r="M239" s="110">
        <f t="shared" si="21"/>
        <v>16079493.531200003</v>
      </c>
      <c r="N239" s="110">
        <f t="shared" si="21"/>
        <v>17044263.143072005</v>
      </c>
    </row>
    <row r="240" spans="1:15" x14ac:dyDescent="0.25">
      <c r="A240" s="109" t="s">
        <v>11</v>
      </c>
      <c r="B240" s="108" t="s">
        <v>391</v>
      </c>
      <c r="C240" s="109" t="s">
        <v>31</v>
      </c>
      <c r="D240" s="110">
        <v>69050</v>
      </c>
      <c r="F240" s="110">
        <v>5878.2</v>
      </c>
      <c r="G240" s="110">
        <v>0</v>
      </c>
      <c r="H240" s="110">
        <v>44684.639999999999</v>
      </c>
      <c r="J240" s="110">
        <v>24365.360000000001</v>
      </c>
      <c r="K240" s="110">
        <v>64.709999999999994</v>
      </c>
      <c r="L240" s="111">
        <f t="shared" si="20"/>
        <v>73193</v>
      </c>
      <c r="M240" s="110">
        <f t="shared" si="21"/>
        <v>77584.58</v>
      </c>
      <c r="N240" s="110">
        <f t="shared" si="21"/>
        <v>82239.654800000004</v>
      </c>
    </row>
    <row r="241" spans="1:15" x14ac:dyDescent="0.25">
      <c r="A241" s="109" t="s">
        <v>11</v>
      </c>
      <c r="B241" s="108" t="s">
        <v>392</v>
      </c>
      <c r="C241" s="109" t="s">
        <v>34</v>
      </c>
      <c r="D241" s="110">
        <v>427613</v>
      </c>
      <c r="F241" s="110">
        <v>35821.99</v>
      </c>
      <c r="G241" s="110">
        <v>0</v>
      </c>
      <c r="H241" s="110">
        <v>285804.39</v>
      </c>
      <c r="J241" s="110">
        <v>141808.60999999999</v>
      </c>
      <c r="K241" s="110">
        <v>66.83</v>
      </c>
      <c r="L241" s="111">
        <f t="shared" si="20"/>
        <v>453269.78</v>
      </c>
      <c r="M241" s="110">
        <f t="shared" si="21"/>
        <v>480465.96680000005</v>
      </c>
      <c r="N241" s="110">
        <f t="shared" si="21"/>
        <v>509293.9248080001</v>
      </c>
    </row>
    <row r="242" spans="1:15" x14ac:dyDescent="0.25">
      <c r="A242" s="109" t="s">
        <v>11</v>
      </c>
      <c r="B242" s="108" t="s">
        <v>393</v>
      </c>
      <c r="C242" s="109" t="s">
        <v>36</v>
      </c>
      <c r="D242" s="110">
        <v>4899202</v>
      </c>
      <c r="F242" s="110">
        <v>413175.35</v>
      </c>
      <c r="G242" s="110">
        <v>0</v>
      </c>
      <c r="H242" s="110">
        <v>3317239.84</v>
      </c>
      <c r="J242" s="110">
        <v>1581962.16</v>
      </c>
      <c r="K242" s="110">
        <v>67.7</v>
      </c>
      <c r="L242" s="111">
        <f t="shared" si="20"/>
        <v>5193154.12</v>
      </c>
      <c r="M242" s="110">
        <f t="shared" si="21"/>
        <v>5504743.3672000002</v>
      </c>
      <c r="N242" s="110">
        <f t="shared" si="21"/>
        <v>5835027.9692320004</v>
      </c>
    </row>
    <row r="243" spans="1:15" x14ac:dyDescent="0.25">
      <c r="A243" s="109" t="s">
        <v>11</v>
      </c>
      <c r="B243" s="108" t="s">
        <v>394</v>
      </c>
      <c r="C243" s="109" t="s">
        <v>38</v>
      </c>
      <c r="D243" s="110">
        <v>18614977</v>
      </c>
      <c r="F243" s="110">
        <v>1435966.32</v>
      </c>
      <c r="G243" s="110">
        <v>0</v>
      </c>
      <c r="H243" s="110">
        <v>11798009.619999999</v>
      </c>
      <c r="J243" s="110">
        <v>6816967.3799999999</v>
      </c>
      <c r="K243" s="110">
        <v>63.37</v>
      </c>
      <c r="L243" s="111">
        <f t="shared" si="20"/>
        <v>19731875.620000001</v>
      </c>
      <c r="M243" s="110">
        <f t="shared" si="21"/>
        <v>20915788.157200001</v>
      </c>
      <c r="N243" s="110">
        <f t="shared" si="21"/>
        <v>22170735.446632002</v>
      </c>
    </row>
    <row r="244" spans="1:15" x14ac:dyDescent="0.25">
      <c r="A244" s="109" t="s">
        <v>11</v>
      </c>
      <c r="B244" s="108" t="s">
        <v>395</v>
      </c>
      <c r="C244" s="109" t="s">
        <v>396</v>
      </c>
      <c r="D244" s="110">
        <v>6294000</v>
      </c>
      <c r="F244" s="110">
        <v>617816.26</v>
      </c>
      <c r="G244" s="110">
        <v>0</v>
      </c>
      <c r="H244" s="110">
        <v>3406903.78</v>
      </c>
      <c r="J244" s="110">
        <v>2887096.22</v>
      </c>
      <c r="K244" s="110">
        <v>54.12</v>
      </c>
      <c r="L244" s="111">
        <f t="shared" si="20"/>
        <v>6671640</v>
      </c>
      <c r="M244" s="110">
        <f t="shared" si="21"/>
        <v>7071938.4000000004</v>
      </c>
      <c r="N244" s="110">
        <f t="shared" si="21"/>
        <v>7496254.7040000008</v>
      </c>
    </row>
    <row r="245" spans="1:15" x14ac:dyDescent="0.25">
      <c r="A245" s="109" t="s">
        <v>11</v>
      </c>
      <c r="B245" s="108" t="s">
        <v>397</v>
      </c>
      <c r="C245" s="109" t="s">
        <v>88</v>
      </c>
      <c r="D245" s="110">
        <v>500000</v>
      </c>
      <c r="F245" s="110">
        <v>0</v>
      </c>
      <c r="G245" s="110">
        <v>0</v>
      </c>
      <c r="H245" s="110">
        <v>0</v>
      </c>
      <c r="J245" s="110">
        <v>500000</v>
      </c>
      <c r="K245" s="110">
        <v>0</v>
      </c>
      <c r="L245" s="111">
        <f>D245*1.041</f>
        <v>520499.99999999994</v>
      </c>
      <c r="M245" s="110">
        <f>L245*1.044</f>
        <v>543402</v>
      </c>
      <c r="N245" s="110">
        <f>M245*1.045</f>
        <v>567855.09</v>
      </c>
    </row>
    <row r="246" spans="1:15" x14ac:dyDescent="0.25">
      <c r="A246" s="109" t="s">
        <v>11</v>
      </c>
      <c r="B246" s="108" t="s">
        <v>398</v>
      </c>
      <c r="C246" s="109" t="s">
        <v>399</v>
      </c>
      <c r="D246" s="110">
        <v>4000000</v>
      </c>
      <c r="F246" s="110">
        <v>0</v>
      </c>
      <c r="G246" s="110">
        <v>24999.99</v>
      </c>
      <c r="H246" s="110">
        <v>0</v>
      </c>
      <c r="J246" s="110">
        <v>4000000</v>
      </c>
      <c r="K246" s="110">
        <v>0</v>
      </c>
      <c r="L246" s="111">
        <f t="shared" ref="L246:L271" si="22">D246*1.041</f>
        <v>4163999.9999999995</v>
      </c>
      <c r="M246" s="110">
        <f t="shared" ref="M246:M271" si="23">L246*1.044</f>
        <v>4347216</v>
      </c>
      <c r="N246" s="110">
        <f t="shared" ref="N246:N271" si="24">M246*1.045</f>
        <v>4542840.72</v>
      </c>
      <c r="O246" t="s">
        <v>739</v>
      </c>
    </row>
    <row r="247" spans="1:15" x14ac:dyDescent="0.25">
      <c r="A247" s="109" t="s">
        <v>11</v>
      </c>
      <c r="B247" s="108" t="s">
        <v>400</v>
      </c>
      <c r="C247" s="109" t="s">
        <v>401</v>
      </c>
      <c r="D247" s="110">
        <v>69934</v>
      </c>
      <c r="F247" s="110">
        <v>0</v>
      </c>
      <c r="G247" s="110">
        <v>0</v>
      </c>
      <c r="H247" s="110">
        <v>0</v>
      </c>
      <c r="J247" s="110">
        <v>69934</v>
      </c>
      <c r="K247" s="110">
        <v>0</v>
      </c>
      <c r="L247" s="111">
        <f t="shared" si="22"/>
        <v>72801.293999999994</v>
      </c>
      <c r="M247" s="110">
        <f t="shared" si="23"/>
        <v>76004.550936</v>
      </c>
      <c r="N247" s="110">
        <f t="shared" si="24"/>
        <v>79424.755728119999</v>
      </c>
    </row>
    <row r="248" spans="1:15" x14ac:dyDescent="0.25">
      <c r="A248" s="109" t="s">
        <v>11</v>
      </c>
      <c r="B248" s="108" t="s">
        <v>402</v>
      </c>
      <c r="C248" s="109" t="s">
        <v>323</v>
      </c>
      <c r="D248" s="110">
        <v>175000</v>
      </c>
      <c r="F248" s="110">
        <v>0</v>
      </c>
      <c r="G248" s="110">
        <v>0</v>
      </c>
      <c r="H248" s="110">
        <v>0</v>
      </c>
      <c r="J248" s="110">
        <v>175000</v>
      </c>
      <c r="K248" s="110">
        <v>0</v>
      </c>
      <c r="L248" s="111">
        <f t="shared" si="22"/>
        <v>182175</v>
      </c>
      <c r="M248" s="110">
        <f t="shared" si="23"/>
        <v>190190.7</v>
      </c>
      <c r="N248" s="110">
        <f t="shared" si="24"/>
        <v>198749.28150000001</v>
      </c>
    </row>
    <row r="249" spans="1:15" x14ac:dyDescent="0.25">
      <c r="A249" s="109" t="s">
        <v>11</v>
      </c>
      <c r="B249" s="108" t="s">
        <v>403</v>
      </c>
      <c r="C249" s="109" t="s">
        <v>323</v>
      </c>
      <c r="D249" s="110">
        <v>175000</v>
      </c>
      <c r="F249" s="110">
        <v>0</v>
      </c>
      <c r="G249" s="110">
        <v>0</v>
      </c>
      <c r="H249" s="110">
        <v>0</v>
      </c>
      <c r="J249" s="110">
        <v>175000</v>
      </c>
      <c r="K249" s="110">
        <v>0</v>
      </c>
      <c r="L249" s="111">
        <f t="shared" si="22"/>
        <v>182175</v>
      </c>
      <c r="M249" s="110">
        <f t="shared" si="23"/>
        <v>190190.7</v>
      </c>
      <c r="N249" s="110">
        <f t="shared" si="24"/>
        <v>198749.28150000001</v>
      </c>
    </row>
    <row r="250" spans="1:15" x14ac:dyDescent="0.25">
      <c r="A250" s="109" t="s">
        <v>11</v>
      </c>
      <c r="B250" s="108" t="s">
        <v>404</v>
      </c>
      <c r="C250" s="109" t="s">
        <v>405</v>
      </c>
      <c r="D250" s="110">
        <v>3500000</v>
      </c>
      <c r="F250" s="110">
        <v>0</v>
      </c>
      <c r="G250" s="110">
        <v>0</v>
      </c>
      <c r="H250" s="110">
        <v>1998932.65</v>
      </c>
      <c r="J250" s="110">
        <v>1501067.35</v>
      </c>
      <c r="K250" s="110">
        <v>57.11</v>
      </c>
      <c r="L250" s="111">
        <f t="shared" si="22"/>
        <v>3643499.9999999995</v>
      </c>
      <c r="M250" s="110">
        <f t="shared" si="23"/>
        <v>3803813.9999999995</v>
      </c>
      <c r="N250" s="110">
        <f t="shared" si="24"/>
        <v>3974985.6299999994</v>
      </c>
      <c r="O250" t="s">
        <v>739</v>
      </c>
    </row>
    <row r="251" spans="1:15" x14ac:dyDescent="0.25">
      <c r="A251" s="109" t="s">
        <v>11</v>
      </c>
      <c r="B251" s="108" t="s">
        <v>406</v>
      </c>
      <c r="C251" s="109" t="s">
        <v>405</v>
      </c>
      <c r="D251" s="110">
        <v>2000000</v>
      </c>
      <c r="F251" s="110">
        <v>672853.3</v>
      </c>
      <c r="G251" s="110">
        <v>7489.8</v>
      </c>
      <c r="H251" s="110">
        <v>2968369.2</v>
      </c>
      <c r="J251" s="110">
        <v>-968369.2</v>
      </c>
      <c r="K251" s="110">
        <v>148.41</v>
      </c>
      <c r="L251" s="111">
        <v>3500000</v>
      </c>
      <c r="M251" s="110">
        <f t="shared" si="23"/>
        <v>3654000</v>
      </c>
      <c r="N251" s="110">
        <f t="shared" si="24"/>
        <v>3818429.9999999995</v>
      </c>
      <c r="O251" t="s">
        <v>739</v>
      </c>
    </row>
    <row r="252" spans="1:15" x14ac:dyDescent="0.25">
      <c r="A252" s="109" t="s">
        <v>11</v>
      </c>
      <c r="B252" s="108" t="s">
        <v>407</v>
      </c>
      <c r="C252" s="109" t="s">
        <v>150</v>
      </c>
      <c r="D252" s="110">
        <v>5600000</v>
      </c>
      <c r="F252" s="110">
        <v>0</v>
      </c>
      <c r="G252" s="110">
        <v>2311752.44</v>
      </c>
      <c r="H252" s="110">
        <v>794000.8</v>
      </c>
      <c r="J252" s="110">
        <v>4805999.2</v>
      </c>
      <c r="K252" s="110">
        <v>14.17</v>
      </c>
      <c r="L252" s="111">
        <v>7000000</v>
      </c>
      <c r="M252" s="110">
        <f t="shared" si="23"/>
        <v>7308000</v>
      </c>
      <c r="N252" s="110">
        <f t="shared" si="24"/>
        <v>7636859.9999999991</v>
      </c>
      <c r="O252" t="s">
        <v>740</v>
      </c>
    </row>
    <row r="253" spans="1:15" x14ac:dyDescent="0.25">
      <c r="A253" s="109" t="s">
        <v>11</v>
      </c>
      <c r="B253" s="108" t="s">
        <v>408</v>
      </c>
      <c r="C253" s="109" t="s">
        <v>409</v>
      </c>
      <c r="D253" s="110">
        <v>10333580</v>
      </c>
      <c r="F253" s="110">
        <v>0</v>
      </c>
      <c r="G253" s="110">
        <v>218063.48</v>
      </c>
      <c r="H253" s="110">
        <v>5365516.13</v>
      </c>
      <c r="J253" s="110">
        <v>4968063.87</v>
      </c>
      <c r="K253" s="110">
        <v>51.92</v>
      </c>
      <c r="L253" s="111">
        <f t="shared" si="22"/>
        <v>10757256.779999999</v>
      </c>
      <c r="M253" s="110">
        <f t="shared" si="23"/>
        <v>11230576.07832</v>
      </c>
      <c r="N253" s="110">
        <f t="shared" si="24"/>
        <v>11735952.001844399</v>
      </c>
    </row>
    <row r="254" spans="1:15" x14ac:dyDescent="0.25">
      <c r="A254" s="109" t="s">
        <v>11</v>
      </c>
      <c r="B254" s="108" t="s">
        <v>410</v>
      </c>
      <c r="C254" s="109" t="s">
        <v>411</v>
      </c>
      <c r="D254" s="110">
        <v>300000</v>
      </c>
      <c r="F254" s="110">
        <v>0</v>
      </c>
      <c r="G254" s="110">
        <v>0</v>
      </c>
      <c r="H254" s="110">
        <v>0</v>
      </c>
      <c r="J254" s="110">
        <v>300000</v>
      </c>
      <c r="K254" s="110">
        <v>0</v>
      </c>
      <c r="L254" s="111">
        <f t="shared" si="22"/>
        <v>312300</v>
      </c>
      <c r="M254" s="110">
        <f t="shared" si="23"/>
        <v>326041.2</v>
      </c>
      <c r="N254" s="110">
        <f t="shared" si="24"/>
        <v>340713.054</v>
      </c>
    </row>
    <row r="255" spans="1:15" x14ac:dyDescent="0.25">
      <c r="A255" s="109" t="s">
        <v>11</v>
      </c>
      <c r="B255" s="108" t="s">
        <v>412</v>
      </c>
      <c r="C255" s="109" t="s">
        <v>413</v>
      </c>
      <c r="D255" s="110">
        <v>5000000</v>
      </c>
      <c r="F255" s="110">
        <v>0</v>
      </c>
      <c r="G255" s="110">
        <v>21500</v>
      </c>
      <c r="H255" s="110">
        <v>2971538.68</v>
      </c>
      <c r="J255" s="110">
        <v>2028461.32</v>
      </c>
      <c r="K255" s="110">
        <v>59.43</v>
      </c>
      <c r="L255" s="111">
        <f t="shared" si="22"/>
        <v>5205000</v>
      </c>
      <c r="M255" s="110">
        <f t="shared" si="23"/>
        <v>5434020</v>
      </c>
      <c r="N255" s="110">
        <f t="shared" si="24"/>
        <v>5678550.8999999994</v>
      </c>
    </row>
    <row r="256" spans="1:15" x14ac:dyDescent="0.25">
      <c r="A256" s="109" t="s">
        <v>11</v>
      </c>
      <c r="B256" s="108" t="s">
        <v>414</v>
      </c>
      <c r="C256" s="109" t="s">
        <v>413</v>
      </c>
      <c r="D256" s="110">
        <v>1500000</v>
      </c>
      <c r="F256" s="110">
        <v>0</v>
      </c>
      <c r="G256" s="110">
        <v>0</v>
      </c>
      <c r="H256" s="110">
        <v>1496553</v>
      </c>
      <c r="J256" s="110">
        <v>3447</v>
      </c>
      <c r="K256" s="110">
        <v>99.77</v>
      </c>
      <c r="L256" s="111">
        <f t="shared" si="22"/>
        <v>1561500</v>
      </c>
      <c r="M256" s="110">
        <f t="shared" si="23"/>
        <v>1630206</v>
      </c>
      <c r="N256" s="110">
        <f t="shared" si="24"/>
        <v>1703565.2699999998</v>
      </c>
    </row>
    <row r="257" spans="1:15" x14ac:dyDescent="0.25">
      <c r="A257" s="109" t="s">
        <v>11</v>
      </c>
      <c r="B257" s="108" t="s">
        <v>415</v>
      </c>
      <c r="C257" s="109" t="s">
        <v>416</v>
      </c>
      <c r="D257" s="110">
        <v>52000000</v>
      </c>
      <c r="F257" s="110">
        <v>650000</v>
      </c>
      <c r="G257" s="110">
        <v>723024.46</v>
      </c>
      <c r="H257" s="110">
        <v>33772880.43</v>
      </c>
      <c r="J257" s="110">
        <v>18227119.57</v>
      </c>
      <c r="K257" s="110">
        <v>64.94</v>
      </c>
      <c r="L257" s="111">
        <v>40000000</v>
      </c>
      <c r="M257" s="110">
        <f t="shared" si="23"/>
        <v>41760000</v>
      </c>
      <c r="N257" s="110">
        <f t="shared" si="24"/>
        <v>43639200</v>
      </c>
      <c r="O257" t="s">
        <v>741</v>
      </c>
    </row>
    <row r="258" spans="1:15" x14ac:dyDescent="0.25">
      <c r="A258" s="109" t="s">
        <v>11</v>
      </c>
      <c r="B258" s="108" t="s">
        <v>417</v>
      </c>
      <c r="C258" s="109" t="s">
        <v>107</v>
      </c>
      <c r="D258" s="110">
        <v>1624938</v>
      </c>
      <c r="F258" s="110">
        <v>124918.76</v>
      </c>
      <c r="G258" s="110">
        <v>0</v>
      </c>
      <c r="H258" s="110">
        <v>1881713.88</v>
      </c>
      <c r="J258" s="110">
        <v>-256775.88</v>
      </c>
      <c r="K258" s="110">
        <v>115.8</v>
      </c>
      <c r="L258" s="111">
        <f t="shared" si="22"/>
        <v>1691560.4579999999</v>
      </c>
      <c r="M258" s="110">
        <f t="shared" si="23"/>
        <v>1765989.118152</v>
      </c>
      <c r="N258" s="110">
        <f t="shared" si="24"/>
        <v>1845458.6284688399</v>
      </c>
    </row>
    <row r="259" spans="1:15" x14ac:dyDescent="0.25">
      <c r="A259" s="109" t="s">
        <v>11</v>
      </c>
      <c r="B259" s="108" t="s">
        <v>418</v>
      </c>
      <c r="C259" s="109" t="s">
        <v>111</v>
      </c>
      <c r="D259" s="110">
        <v>200000</v>
      </c>
      <c r="F259" s="110">
        <v>0</v>
      </c>
      <c r="G259" s="110">
        <v>0</v>
      </c>
      <c r="H259" s="110">
        <v>198424.72</v>
      </c>
      <c r="J259" s="110">
        <v>1575.28</v>
      </c>
      <c r="K259" s="110">
        <v>99.21</v>
      </c>
      <c r="L259" s="111">
        <f t="shared" si="22"/>
        <v>208199.99999999997</v>
      </c>
      <c r="M259" s="110">
        <f t="shared" si="23"/>
        <v>217360.8</v>
      </c>
      <c r="N259" s="110">
        <f t="shared" si="24"/>
        <v>227142.03599999996</v>
      </c>
    </row>
    <row r="260" spans="1:15" x14ac:dyDescent="0.25">
      <c r="A260" s="109" t="s">
        <v>11</v>
      </c>
      <c r="B260" s="108" t="s">
        <v>419</v>
      </c>
      <c r="C260" s="109" t="s">
        <v>111</v>
      </c>
      <c r="D260" s="110">
        <v>1000000</v>
      </c>
      <c r="F260" s="110">
        <v>0</v>
      </c>
      <c r="G260" s="110">
        <v>0</v>
      </c>
      <c r="H260" s="110">
        <v>0</v>
      </c>
      <c r="J260" s="110">
        <v>1000000</v>
      </c>
      <c r="K260" s="110">
        <v>0</v>
      </c>
      <c r="L260" s="111">
        <f t="shared" si="22"/>
        <v>1040999.9999999999</v>
      </c>
      <c r="M260" s="110">
        <f t="shared" si="23"/>
        <v>1086804</v>
      </c>
      <c r="N260" s="110">
        <f t="shared" si="24"/>
        <v>1135710.18</v>
      </c>
    </row>
    <row r="261" spans="1:15" x14ac:dyDescent="0.25">
      <c r="A261" s="109" t="s">
        <v>11</v>
      </c>
      <c r="B261" s="108" t="s">
        <v>420</v>
      </c>
      <c r="C261" s="109" t="s">
        <v>421</v>
      </c>
      <c r="D261" s="110">
        <v>33359</v>
      </c>
      <c r="F261" s="110">
        <v>0</v>
      </c>
      <c r="G261" s="110">
        <v>0</v>
      </c>
      <c r="H261" s="110">
        <v>0</v>
      </c>
      <c r="J261" s="110">
        <v>33359</v>
      </c>
      <c r="K261" s="110">
        <v>0</v>
      </c>
      <c r="L261" s="111">
        <f t="shared" si="22"/>
        <v>34726.718999999997</v>
      </c>
      <c r="M261" s="110">
        <f t="shared" si="23"/>
        <v>36254.694636</v>
      </c>
      <c r="N261" s="110">
        <f t="shared" si="24"/>
        <v>37886.155894619995</v>
      </c>
    </row>
    <row r="262" spans="1:15" x14ac:dyDescent="0.25">
      <c r="A262" s="109" t="s">
        <v>11</v>
      </c>
      <c r="B262" s="108" t="s">
        <v>422</v>
      </c>
      <c r="C262" s="109" t="s">
        <v>423</v>
      </c>
      <c r="D262" s="110">
        <v>1779346</v>
      </c>
      <c r="F262" s="110">
        <v>0</v>
      </c>
      <c r="G262" s="110">
        <v>300649.3</v>
      </c>
      <c r="H262" s="110">
        <v>523841.77</v>
      </c>
      <c r="J262" s="110">
        <v>1255504.23</v>
      </c>
      <c r="K262" s="110">
        <v>29.44</v>
      </c>
      <c r="L262" s="111">
        <f t="shared" si="22"/>
        <v>1852299.1859999998</v>
      </c>
      <c r="M262" s="110">
        <f t="shared" si="23"/>
        <v>1933800.3501839999</v>
      </c>
      <c r="N262" s="110">
        <f t="shared" si="24"/>
        <v>2020821.3659422798</v>
      </c>
    </row>
    <row r="263" spans="1:15" x14ac:dyDescent="0.25">
      <c r="A263" s="109" t="s">
        <v>11</v>
      </c>
      <c r="B263" s="108" t="s">
        <v>424</v>
      </c>
      <c r="C263" s="109" t="s">
        <v>334</v>
      </c>
      <c r="D263" s="110">
        <v>1243207</v>
      </c>
      <c r="F263" s="110">
        <v>0</v>
      </c>
      <c r="G263" s="110">
        <v>32616</v>
      </c>
      <c r="H263" s="110">
        <v>1210255.8999999999</v>
      </c>
      <c r="J263" s="110">
        <v>32951.1</v>
      </c>
      <c r="K263" s="110">
        <v>97.34</v>
      </c>
      <c r="L263" s="111">
        <v>5000000</v>
      </c>
      <c r="M263" s="110">
        <f t="shared" si="23"/>
        <v>5220000</v>
      </c>
      <c r="N263" s="110">
        <f t="shared" si="24"/>
        <v>5454900</v>
      </c>
      <c r="O263" t="s">
        <v>742</v>
      </c>
    </row>
    <row r="264" spans="1:15" x14ac:dyDescent="0.25">
      <c r="A264" s="109" t="s">
        <v>11</v>
      </c>
      <c r="B264" s="108" t="s">
        <v>425</v>
      </c>
      <c r="C264" s="109" t="s">
        <v>334</v>
      </c>
      <c r="D264" s="110">
        <v>5217147</v>
      </c>
      <c r="F264" s="110">
        <v>407982.63</v>
      </c>
      <c r="G264" s="110">
        <v>81197.2</v>
      </c>
      <c r="H264" s="110">
        <v>3324373.38</v>
      </c>
      <c r="J264" s="110">
        <v>1892773.62</v>
      </c>
      <c r="K264" s="110">
        <v>63.72</v>
      </c>
      <c r="L264" s="111">
        <v>7000000</v>
      </c>
      <c r="M264" s="110">
        <f t="shared" si="23"/>
        <v>7308000</v>
      </c>
      <c r="N264" s="110">
        <f t="shared" si="24"/>
        <v>7636859.9999999991</v>
      </c>
      <c r="O264" t="s">
        <v>742</v>
      </c>
    </row>
    <row r="265" spans="1:15" x14ac:dyDescent="0.25">
      <c r="A265" s="109" t="s">
        <v>11</v>
      </c>
      <c r="B265" s="108" t="s">
        <v>426</v>
      </c>
      <c r="C265" s="109" t="s">
        <v>427</v>
      </c>
      <c r="D265" s="110">
        <v>4607516</v>
      </c>
      <c r="F265" s="110">
        <v>0</v>
      </c>
      <c r="G265" s="110">
        <v>1335</v>
      </c>
      <c r="H265" s="110">
        <v>1996402.04</v>
      </c>
      <c r="J265" s="110">
        <v>2611113.96</v>
      </c>
      <c r="K265" s="110">
        <v>43.32</v>
      </c>
      <c r="L265" s="111">
        <f t="shared" si="22"/>
        <v>4796424.1559999995</v>
      </c>
      <c r="M265" s="110">
        <f t="shared" si="23"/>
        <v>5007466.818864</v>
      </c>
      <c r="N265" s="110">
        <f t="shared" si="24"/>
        <v>5232802.8257128801</v>
      </c>
    </row>
    <row r="266" spans="1:15" x14ac:dyDescent="0.25">
      <c r="A266" s="109" t="s">
        <v>11</v>
      </c>
      <c r="B266" s="108" t="s">
        <v>428</v>
      </c>
      <c r="C266" s="109" t="s">
        <v>427</v>
      </c>
      <c r="D266" s="110">
        <v>7107516</v>
      </c>
      <c r="F266" s="110">
        <v>0</v>
      </c>
      <c r="G266" s="110">
        <v>42800</v>
      </c>
      <c r="H266" s="110">
        <v>1954205.76</v>
      </c>
      <c r="J266" s="110">
        <v>5153310.24</v>
      </c>
      <c r="K266" s="110">
        <v>27.49</v>
      </c>
      <c r="L266" s="111">
        <f t="shared" si="22"/>
        <v>7398924.1559999995</v>
      </c>
      <c r="M266" s="110">
        <f t="shared" si="23"/>
        <v>7724476.818864</v>
      </c>
      <c r="N266" s="110">
        <f t="shared" si="24"/>
        <v>8072078.2757128794</v>
      </c>
    </row>
    <row r="267" spans="1:15" x14ac:dyDescent="0.25">
      <c r="A267" s="109" t="s">
        <v>11</v>
      </c>
      <c r="B267" s="108" t="s">
        <v>429</v>
      </c>
      <c r="C267" s="109" t="s">
        <v>427</v>
      </c>
      <c r="D267" s="110">
        <v>4607516</v>
      </c>
      <c r="F267" s="110">
        <v>359952.37</v>
      </c>
      <c r="G267" s="110">
        <v>22943.95</v>
      </c>
      <c r="H267" s="110">
        <v>2336242.23</v>
      </c>
      <c r="J267" s="110">
        <v>2271273.77</v>
      </c>
      <c r="K267" s="110">
        <v>50.7</v>
      </c>
      <c r="L267" s="111">
        <f t="shared" si="22"/>
        <v>4796424.1559999995</v>
      </c>
      <c r="M267" s="110">
        <f t="shared" si="23"/>
        <v>5007466.818864</v>
      </c>
      <c r="N267" s="110">
        <f t="shared" si="24"/>
        <v>5232802.8257128801</v>
      </c>
    </row>
    <row r="268" spans="1:15" x14ac:dyDescent="0.25">
      <c r="A268" s="109" t="s">
        <v>11</v>
      </c>
      <c r="B268" s="108" t="s">
        <v>430</v>
      </c>
      <c r="C268" s="109" t="s">
        <v>427</v>
      </c>
      <c r="D268" s="110">
        <v>2507516</v>
      </c>
      <c r="F268" s="110">
        <v>39000</v>
      </c>
      <c r="G268" s="110">
        <v>0</v>
      </c>
      <c r="H268" s="110">
        <v>2038795.28</v>
      </c>
      <c r="J268" s="110">
        <v>468720.72</v>
      </c>
      <c r="K268" s="110">
        <v>81.3</v>
      </c>
      <c r="L268" s="111">
        <f t="shared" si="22"/>
        <v>2610324.156</v>
      </c>
      <c r="M268" s="110">
        <f t="shared" si="23"/>
        <v>2725178.4188640001</v>
      </c>
      <c r="N268" s="110">
        <f t="shared" si="24"/>
        <v>2847811.4477128801</v>
      </c>
    </row>
    <row r="269" spans="1:15" x14ac:dyDescent="0.25">
      <c r="A269" s="109" t="s">
        <v>11</v>
      </c>
      <c r="B269" s="108" t="s">
        <v>431</v>
      </c>
      <c r="C269" s="109" t="s">
        <v>427</v>
      </c>
      <c r="D269" s="110">
        <v>2500000</v>
      </c>
      <c r="F269" s="110">
        <v>0</v>
      </c>
      <c r="G269" s="110">
        <v>0</v>
      </c>
      <c r="H269" s="110">
        <v>2493949.87</v>
      </c>
      <c r="J269" s="110">
        <v>6050.13</v>
      </c>
      <c r="K269" s="110">
        <v>99.75</v>
      </c>
      <c r="L269" s="111">
        <f t="shared" si="22"/>
        <v>2602500</v>
      </c>
      <c r="M269" s="110">
        <f t="shared" si="23"/>
        <v>2717010</v>
      </c>
      <c r="N269" s="110">
        <f t="shared" si="24"/>
        <v>2839275.4499999997</v>
      </c>
    </row>
    <row r="270" spans="1:15" x14ac:dyDescent="0.25">
      <c r="A270" s="109" t="s">
        <v>11</v>
      </c>
      <c r="B270" s="108" t="s">
        <v>432</v>
      </c>
      <c r="C270" s="109" t="s">
        <v>427</v>
      </c>
      <c r="D270" s="110">
        <v>2000000</v>
      </c>
      <c r="F270" s="110">
        <v>0</v>
      </c>
      <c r="G270" s="110">
        <v>0</v>
      </c>
      <c r="H270" s="110">
        <v>2944701.18</v>
      </c>
      <c r="J270" s="110">
        <v>-944701.18</v>
      </c>
      <c r="K270" s="110">
        <v>147.22999999999999</v>
      </c>
      <c r="L270" s="111">
        <f t="shared" si="22"/>
        <v>2081999.9999999998</v>
      </c>
      <c r="M270" s="110">
        <f t="shared" si="23"/>
        <v>2173608</v>
      </c>
      <c r="N270" s="110">
        <f t="shared" si="24"/>
        <v>2271420.36</v>
      </c>
    </row>
    <row r="271" spans="1:15" x14ac:dyDescent="0.25">
      <c r="A271" s="109" t="s">
        <v>11</v>
      </c>
      <c r="B271" s="108" t="s">
        <v>433</v>
      </c>
      <c r="C271" s="109" t="s">
        <v>434</v>
      </c>
      <c r="D271" s="110">
        <v>130000000</v>
      </c>
      <c r="F271" s="110">
        <v>-7280152.2400000002</v>
      </c>
      <c r="G271" s="110">
        <v>22669760.210000001</v>
      </c>
      <c r="H271" s="110">
        <v>89158341.920000002</v>
      </c>
      <c r="J271" s="110">
        <v>40841658.079999998</v>
      </c>
      <c r="K271" s="110">
        <v>68.58</v>
      </c>
      <c r="L271" s="111">
        <f t="shared" si="22"/>
        <v>135330000</v>
      </c>
      <c r="M271" s="110">
        <f t="shared" si="23"/>
        <v>141284520</v>
      </c>
      <c r="N271" s="110">
        <f t="shared" si="24"/>
        <v>147642323.39999998</v>
      </c>
    </row>
    <row r="272" spans="1:15" x14ac:dyDescent="0.25">
      <c r="B272" s="108" t="s">
        <v>706</v>
      </c>
      <c r="C272" s="118" t="s">
        <v>917</v>
      </c>
      <c r="D272" s="110">
        <v>0</v>
      </c>
      <c r="L272" s="111">
        <f>'[2]Projects Priority'!C52-L231</f>
        <v>0</v>
      </c>
      <c r="M272" s="111">
        <f>'[2]Projects Priority'!D52-M231</f>
        <v>0</v>
      </c>
      <c r="N272" s="111">
        <f>'[2]Projects Priority'!E52</f>
        <v>0</v>
      </c>
      <c r="O272" s="11" t="s">
        <v>918</v>
      </c>
    </row>
    <row r="273" spans="1:15" s="4" customFormat="1" x14ac:dyDescent="0.25">
      <c r="A273" s="112"/>
      <c r="B273" s="113"/>
      <c r="C273" s="112" t="s">
        <v>683</v>
      </c>
      <c r="D273" s="114">
        <f t="shared" ref="D273:N273" si="25">SUM(D211:D272)</f>
        <v>539483740</v>
      </c>
      <c r="E273" s="114">
        <f t="shared" si="25"/>
        <v>0</v>
      </c>
      <c r="F273" s="114">
        <f t="shared" si="25"/>
        <v>8224546.1999999993</v>
      </c>
      <c r="G273" s="114">
        <f t="shared" si="25"/>
        <v>53743560.140000001</v>
      </c>
      <c r="H273" s="114">
        <f t="shared" si="25"/>
        <v>324675780.23000002</v>
      </c>
      <c r="I273" s="114">
        <f t="shared" si="25"/>
        <v>0</v>
      </c>
      <c r="J273" s="114">
        <f t="shared" si="25"/>
        <v>214807959.76999998</v>
      </c>
      <c r="K273" s="114">
        <f t="shared" si="25"/>
        <v>3825.7399999999993</v>
      </c>
      <c r="L273" s="114">
        <f t="shared" si="25"/>
        <v>533024592.90100002</v>
      </c>
      <c r="M273" s="114">
        <f t="shared" si="25"/>
        <v>536713736.818084</v>
      </c>
      <c r="N273" s="114">
        <f t="shared" si="25"/>
        <v>561908975.18095374</v>
      </c>
    </row>
    <row r="274" spans="1:15" s="40" customFormat="1" x14ac:dyDescent="0.25">
      <c r="A274" s="112"/>
      <c r="B274" s="113"/>
      <c r="C274" s="112"/>
      <c r="D274" s="114"/>
      <c r="E274" s="114"/>
      <c r="F274" s="114"/>
      <c r="G274" s="114"/>
      <c r="H274" s="114"/>
      <c r="I274" s="114"/>
      <c r="J274" s="114"/>
      <c r="K274" s="114"/>
      <c r="L274" s="114"/>
      <c r="M274" s="114"/>
      <c r="N274" s="114"/>
      <c r="O274" s="42"/>
    </row>
    <row r="275" spans="1:15" x14ac:dyDescent="0.25">
      <c r="A275" s="159" t="s">
        <v>11</v>
      </c>
      <c r="B275" s="108" t="s">
        <v>830</v>
      </c>
      <c r="C275" s="159" t="s">
        <v>831</v>
      </c>
      <c r="D275" s="110">
        <v>1003000</v>
      </c>
      <c r="F275" s="110">
        <v>80749.179999999993</v>
      </c>
      <c r="G275" s="110">
        <v>0</v>
      </c>
      <c r="H275" s="110">
        <v>645993.43999999994</v>
      </c>
      <c r="J275" s="110">
        <v>357006.56</v>
      </c>
      <c r="K275" s="110">
        <v>64.400000000000006</v>
      </c>
      <c r="L275" s="160">
        <f>D275*1.06</f>
        <v>1063180</v>
      </c>
      <c r="M275" s="110">
        <f>L275*1.06</f>
        <v>1126970.8</v>
      </c>
      <c r="N275" s="110">
        <f>M275*1.06</f>
        <v>1194589.0480000002</v>
      </c>
    </row>
    <row r="276" spans="1:15" x14ac:dyDescent="0.25">
      <c r="A276" s="159" t="s">
        <v>11</v>
      </c>
      <c r="B276" s="108" t="s">
        <v>832</v>
      </c>
      <c r="C276" s="159" t="s">
        <v>833</v>
      </c>
      <c r="D276" s="110">
        <v>25487</v>
      </c>
      <c r="F276" s="110">
        <v>1999</v>
      </c>
      <c r="G276" s="110">
        <v>0</v>
      </c>
      <c r="H276" s="110">
        <v>15992</v>
      </c>
      <c r="J276" s="110">
        <v>9495</v>
      </c>
      <c r="K276" s="110">
        <v>62.74</v>
      </c>
      <c r="L276" s="160">
        <f t="shared" ref="L276:L289" si="26">D276*1.06</f>
        <v>27016.22</v>
      </c>
      <c r="M276" s="110">
        <f t="shared" ref="M276:N289" si="27">L276*1.06</f>
        <v>28637.193200000002</v>
      </c>
      <c r="N276" s="110">
        <f t="shared" si="27"/>
        <v>30355.424792000002</v>
      </c>
    </row>
    <row r="277" spans="1:15" x14ac:dyDescent="0.25">
      <c r="A277" s="159" t="s">
        <v>11</v>
      </c>
      <c r="B277" s="108" t="s">
        <v>834</v>
      </c>
      <c r="C277" s="159" t="s">
        <v>835</v>
      </c>
      <c r="D277" s="110">
        <v>165750</v>
      </c>
      <c r="F277" s="110">
        <v>13000</v>
      </c>
      <c r="G277" s="110">
        <v>0</v>
      </c>
      <c r="H277" s="110">
        <v>104000</v>
      </c>
      <c r="J277" s="110">
        <v>61750</v>
      </c>
      <c r="K277" s="110">
        <v>62.74</v>
      </c>
      <c r="L277" s="160">
        <f t="shared" si="26"/>
        <v>175695</v>
      </c>
      <c r="M277" s="110">
        <f t="shared" si="27"/>
        <v>186236.7</v>
      </c>
      <c r="N277" s="110">
        <f t="shared" si="27"/>
        <v>197410.90200000003</v>
      </c>
    </row>
    <row r="278" spans="1:15" x14ac:dyDescent="0.25">
      <c r="A278" s="159" t="s">
        <v>11</v>
      </c>
      <c r="B278" s="108" t="s">
        <v>836</v>
      </c>
      <c r="C278" s="159" t="s">
        <v>837</v>
      </c>
      <c r="D278" s="110">
        <v>133875</v>
      </c>
      <c r="F278" s="110">
        <v>0</v>
      </c>
      <c r="G278" s="110">
        <v>0</v>
      </c>
      <c r="H278" s="110">
        <v>0</v>
      </c>
      <c r="J278" s="110">
        <v>133875</v>
      </c>
      <c r="K278" s="110">
        <v>0</v>
      </c>
      <c r="L278" s="160">
        <f t="shared" si="26"/>
        <v>141907.5</v>
      </c>
      <c r="M278" s="110">
        <f t="shared" si="27"/>
        <v>150421.95000000001</v>
      </c>
      <c r="N278" s="110">
        <f t="shared" si="27"/>
        <v>159447.26700000002</v>
      </c>
    </row>
    <row r="279" spans="1:15" x14ac:dyDescent="0.25">
      <c r="A279" s="159" t="s">
        <v>11</v>
      </c>
      <c r="B279" s="108" t="s">
        <v>838</v>
      </c>
      <c r="C279" s="159" t="s">
        <v>13</v>
      </c>
      <c r="D279" s="110">
        <v>4852251</v>
      </c>
      <c r="F279" s="110">
        <v>502185.06</v>
      </c>
      <c r="G279" s="110">
        <v>0</v>
      </c>
      <c r="H279" s="110">
        <v>4094655.04</v>
      </c>
      <c r="J279" s="110">
        <v>757595.96</v>
      </c>
      <c r="K279" s="110">
        <v>84.38</v>
      </c>
      <c r="L279" s="160">
        <f t="shared" si="26"/>
        <v>5143386.0600000005</v>
      </c>
      <c r="M279" s="110">
        <f t="shared" si="27"/>
        <v>5451989.2236000011</v>
      </c>
      <c r="N279" s="110">
        <f t="shared" si="27"/>
        <v>5779108.5770160016</v>
      </c>
    </row>
    <row r="280" spans="1:15" x14ac:dyDescent="0.25">
      <c r="A280" s="159" t="s">
        <v>11</v>
      </c>
      <c r="B280" s="108" t="s">
        <v>839</v>
      </c>
      <c r="C280" s="159" t="s">
        <v>15</v>
      </c>
      <c r="D280" s="110">
        <v>85291</v>
      </c>
      <c r="F280" s="110">
        <v>5796</v>
      </c>
      <c r="G280" s="110">
        <v>0</v>
      </c>
      <c r="H280" s="110">
        <v>44769</v>
      </c>
      <c r="J280" s="110">
        <v>40522</v>
      </c>
      <c r="K280" s="110">
        <v>52.48</v>
      </c>
      <c r="L280" s="160">
        <f t="shared" si="26"/>
        <v>90408.46</v>
      </c>
      <c r="M280" s="110">
        <f t="shared" si="27"/>
        <v>95832.967600000018</v>
      </c>
      <c r="N280" s="110">
        <f t="shared" si="27"/>
        <v>101582.94565600003</v>
      </c>
    </row>
    <row r="281" spans="1:15" x14ac:dyDescent="0.25">
      <c r="A281" s="159" t="s">
        <v>11</v>
      </c>
      <c r="B281" s="108" t="s">
        <v>840</v>
      </c>
      <c r="C281" s="159" t="s">
        <v>17</v>
      </c>
      <c r="D281" s="110">
        <v>23301</v>
      </c>
      <c r="F281" s="110">
        <v>964.51</v>
      </c>
      <c r="G281" s="110">
        <v>0</v>
      </c>
      <c r="H281" s="110">
        <v>7716.08</v>
      </c>
      <c r="J281" s="110">
        <v>15584.92</v>
      </c>
      <c r="K281" s="110">
        <v>33.11</v>
      </c>
      <c r="L281" s="160">
        <f t="shared" si="26"/>
        <v>24699.06</v>
      </c>
      <c r="M281" s="110">
        <f t="shared" si="27"/>
        <v>26181.003600000004</v>
      </c>
      <c r="N281" s="110">
        <f t="shared" si="27"/>
        <v>27751.863816000005</v>
      </c>
    </row>
    <row r="282" spans="1:15" x14ac:dyDescent="0.25">
      <c r="A282" s="159" t="s">
        <v>11</v>
      </c>
      <c r="B282" s="108" t="s">
        <v>841</v>
      </c>
      <c r="C282" s="159" t="s">
        <v>19</v>
      </c>
      <c r="D282" s="110">
        <v>155283</v>
      </c>
      <c r="F282" s="110">
        <v>0</v>
      </c>
      <c r="G282" s="110">
        <v>0</v>
      </c>
      <c r="H282" s="110">
        <v>0</v>
      </c>
      <c r="J282" s="110">
        <v>155283</v>
      </c>
      <c r="K282" s="110">
        <v>0</v>
      </c>
      <c r="L282" s="160">
        <f t="shared" si="26"/>
        <v>164599.98000000001</v>
      </c>
      <c r="M282" s="110">
        <f t="shared" si="27"/>
        <v>174475.97880000001</v>
      </c>
      <c r="N282" s="110">
        <f t="shared" si="27"/>
        <v>184944.53752800002</v>
      </c>
    </row>
    <row r="283" spans="1:15" x14ac:dyDescent="0.25">
      <c r="A283" s="159" t="s">
        <v>11</v>
      </c>
      <c r="B283" s="108" t="s">
        <v>842</v>
      </c>
      <c r="C283" s="159" t="s">
        <v>21</v>
      </c>
      <c r="D283" s="110">
        <v>1364250</v>
      </c>
      <c r="F283" s="110">
        <v>51777.75</v>
      </c>
      <c r="G283" s="110">
        <v>0</v>
      </c>
      <c r="H283" s="110">
        <v>518500.52</v>
      </c>
      <c r="J283" s="110">
        <v>845749.48</v>
      </c>
      <c r="K283" s="110">
        <v>38</v>
      </c>
      <c r="L283" s="160">
        <f t="shared" si="26"/>
        <v>1446105</v>
      </c>
      <c r="M283" s="110">
        <f t="shared" si="27"/>
        <v>1532871.3</v>
      </c>
      <c r="N283" s="110">
        <f t="shared" si="27"/>
        <v>1624843.5780000002</v>
      </c>
    </row>
    <row r="284" spans="1:15" x14ac:dyDescent="0.25">
      <c r="A284" s="159" t="s">
        <v>11</v>
      </c>
      <c r="B284" s="108" t="s">
        <v>843</v>
      </c>
      <c r="C284" s="159" t="s">
        <v>31</v>
      </c>
      <c r="D284" s="110">
        <v>2418</v>
      </c>
      <c r="F284" s="110">
        <v>116.4</v>
      </c>
      <c r="G284" s="110">
        <v>0</v>
      </c>
      <c r="H284" s="110">
        <v>833.64</v>
      </c>
      <c r="J284" s="110">
        <v>1584.36</v>
      </c>
      <c r="K284" s="110">
        <v>34.47</v>
      </c>
      <c r="L284" s="160">
        <f t="shared" si="26"/>
        <v>2563.08</v>
      </c>
      <c r="M284" s="110">
        <f t="shared" si="27"/>
        <v>2716.8648000000003</v>
      </c>
      <c r="N284" s="110">
        <f t="shared" si="27"/>
        <v>2879.8766880000003</v>
      </c>
    </row>
    <row r="285" spans="1:15" x14ac:dyDescent="0.25">
      <c r="A285" s="159" t="s">
        <v>11</v>
      </c>
      <c r="B285" s="108" t="s">
        <v>844</v>
      </c>
      <c r="C285" s="159" t="s">
        <v>34</v>
      </c>
      <c r="D285" s="110">
        <v>43192</v>
      </c>
      <c r="F285" s="110">
        <v>2198.1</v>
      </c>
      <c r="G285" s="110">
        <v>0</v>
      </c>
      <c r="H285" s="110">
        <v>16418.650000000001</v>
      </c>
      <c r="J285" s="110">
        <v>26773.35</v>
      </c>
      <c r="K285" s="110">
        <v>38.01</v>
      </c>
      <c r="L285" s="160">
        <f t="shared" si="26"/>
        <v>45783.520000000004</v>
      </c>
      <c r="M285" s="110">
        <f t="shared" si="27"/>
        <v>48530.531200000005</v>
      </c>
      <c r="N285" s="110">
        <f t="shared" si="27"/>
        <v>51442.363072000007</v>
      </c>
    </row>
    <row r="286" spans="1:15" x14ac:dyDescent="0.25">
      <c r="A286" s="159" t="s">
        <v>11</v>
      </c>
      <c r="B286" s="108" t="s">
        <v>845</v>
      </c>
      <c r="C286" s="159" t="s">
        <v>36</v>
      </c>
      <c r="D286" s="110">
        <v>268433</v>
      </c>
      <c r="F286" s="110">
        <v>34056.870000000003</v>
      </c>
      <c r="G286" s="110">
        <v>0</v>
      </c>
      <c r="H286" s="110">
        <v>249343.29</v>
      </c>
      <c r="J286" s="110">
        <v>19089.71</v>
      </c>
      <c r="K286" s="110">
        <v>92.88</v>
      </c>
      <c r="L286" s="160">
        <f t="shared" si="26"/>
        <v>284538.98000000004</v>
      </c>
      <c r="M286" s="110">
        <f t="shared" si="27"/>
        <v>301611.31880000007</v>
      </c>
      <c r="N286" s="110">
        <f t="shared" si="27"/>
        <v>319707.99792800011</v>
      </c>
    </row>
    <row r="287" spans="1:15" x14ac:dyDescent="0.25">
      <c r="A287" s="159" t="s">
        <v>11</v>
      </c>
      <c r="B287" s="108" t="s">
        <v>846</v>
      </c>
      <c r="C287" s="159" t="s">
        <v>38</v>
      </c>
      <c r="D287" s="110">
        <v>1034582</v>
      </c>
      <c r="F287" s="110">
        <v>79829.27</v>
      </c>
      <c r="G287" s="110">
        <v>0</v>
      </c>
      <c r="H287" s="110">
        <v>617058.1</v>
      </c>
      <c r="J287" s="110">
        <v>417523.9</v>
      </c>
      <c r="K287" s="110">
        <v>59.64</v>
      </c>
      <c r="L287" s="160">
        <f t="shared" si="26"/>
        <v>1096656.9200000002</v>
      </c>
      <c r="M287" s="110">
        <f t="shared" si="27"/>
        <v>1162456.3352000003</v>
      </c>
      <c r="N287" s="110">
        <f t="shared" si="27"/>
        <v>1232203.7153120004</v>
      </c>
    </row>
    <row r="288" spans="1:15" x14ac:dyDescent="0.25">
      <c r="A288" s="159" t="s">
        <v>11</v>
      </c>
      <c r="B288" s="108" t="s">
        <v>847</v>
      </c>
      <c r="C288" s="159" t="s">
        <v>40</v>
      </c>
      <c r="D288" s="110">
        <v>20769</v>
      </c>
      <c r="F288" s="110">
        <v>1487.2</v>
      </c>
      <c r="G288" s="110">
        <v>0</v>
      </c>
      <c r="H288" s="110">
        <v>11451.44</v>
      </c>
      <c r="J288" s="110">
        <v>9317.56</v>
      </c>
      <c r="K288" s="110">
        <v>55.13</v>
      </c>
      <c r="L288" s="160">
        <f t="shared" si="26"/>
        <v>22015.14</v>
      </c>
      <c r="M288" s="110">
        <f t="shared" si="27"/>
        <v>23336.0484</v>
      </c>
      <c r="N288" s="110">
        <f t="shared" si="27"/>
        <v>24736.211304</v>
      </c>
    </row>
    <row r="289" spans="1:14" x14ac:dyDescent="0.25">
      <c r="A289" s="159" t="s">
        <v>11</v>
      </c>
      <c r="B289" s="108" t="s">
        <v>848</v>
      </c>
      <c r="C289" s="159" t="s">
        <v>44</v>
      </c>
      <c r="D289" s="110">
        <v>185380</v>
      </c>
      <c r="F289" s="110">
        <v>0</v>
      </c>
      <c r="G289" s="110">
        <v>0</v>
      </c>
      <c r="H289" s="110">
        <v>84657.26</v>
      </c>
      <c r="J289" s="110">
        <v>100722.74</v>
      </c>
      <c r="K289" s="110">
        <v>45.66</v>
      </c>
      <c r="L289" s="160">
        <f t="shared" si="26"/>
        <v>196502.80000000002</v>
      </c>
      <c r="M289" s="110">
        <f t="shared" si="27"/>
        <v>208292.96800000002</v>
      </c>
      <c r="N289" s="110">
        <f t="shared" si="27"/>
        <v>220790.54608000003</v>
      </c>
    </row>
    <row r="290" spans="1:14" x14ac:dyDescent="0.25">
      <c r="A290" s="159"/>
      <c r="B290" s="159" t="s">
        <v>871</v>
      </c>
      <c r="C290" s="159" t="s">
        <v>850</v>
      </c>
      <c r="D290" s="159"/>
      <c r="E290" s="159"/>
      <c r="F290" s="159"/>
      <c r="G290" s="159"/>
      <c r="H290" s="159"/>
      <c r="I290" s="159"/>
      <c r="J290" s="159"/>
      <c r="K290" s="159"/>
      <c r="L290" s="161">
        <v>1500000</v>
      </c>
      <c r="M290" s="159">
        <v>0</v>
      </c>
      <c r="N290" s="159">
        <v>0</v>
      </c>
    </row>
    <row r="291" spans="1:14" x14ac:dyDescent="0.25">
      <c r="A291" s="159"/>
      <c r="B291" s="159"/>
      <c r="C291" s="159" t="s">
        <v>851</v>
      </c>
      <c r="D291" s="161">
        <v>58000</v>
      </c>
      <c r="E291" s="159"/>
      <c r="F291" s="159"/>
      <c r="G291" s="159"/>
      <c r="H291" s="159"/>
      <c r="I291" s="159"/>
      <c r="J291" s="159"/>
      <c r="K291" s="159"/>
      <c r="L291" s="161">
        <v>60000</v>
      </c>
      <c r="M291" s="161">
        <v>1200000</v>
      </c>
      <c r="N291" s="161">
        <v>200000</v>
      </c>
    </row>
    <row r="292" spans="1:14" x14ac:dyDescent="0.25">
      <c r="A292" s="159"/>
      <c r="B292" s="159" t="s">
        <v>871</v>
      </c>
      <c r="C292" s="159" t="s">
        <v>852</v>
      </c>
      <c r="D292" s="159"/>
      <c r="E292" s="159"/>
      <c r="F292" s="159"/>
      <c r="G292" s="159"/>
      <c r="H292" s="159"/>
      <c r="I292" s="159"/>
      <c r="J292" s="159"/>
      <c r="K292" s="159"/>
      <c r="L292" s="161">
        <v>2000000</v>
      </c>
      <c r="M292" s="161">
        <v>1500000</v>
      </c>
      <c r="N292" s="161">
        <v>1500000</v>
      </c>
    </row>
    <row r="293" spans="1:14" x14ac:dyDescent="0.25">
      <c r="A293" s="159"/>
      <c r="B293" s="159" t="s">
        <v>871</v>
      </c>
      <c r="C293" s="162" t="s">
        <v>853</v>
      </c>
      <c r="D293" s="159">
        <v>0</v>
      </c>
      <c r="E293" s="159"/>
      <c r="F293" s="159"/>
      <c r="G293" s="159"/>
      <c r="H293" s="159"/>
      <c r="I293" s="159"/>
      <c r="J293" s="159"/>
      <c r="K293" s="159"/>
      <c r="L293" s="161">
        <v>60000</v>
      </c>
      <c r="M293" s="161">
        <v>70000</v>
      </c>
      <c r="N293" s="161">
        <v>80000</v>
      </c>
    </row>
    <row r="294" spans="1:14" x14ac:dyDescent="0.25">
      <c r="A294" s="159"/>
      <c r="B294" s="159" t="s">
        <v>871</v>
      </c>
      <c r="C294" s="162" t="s">
        <v>854</v>
      </c>
      <c r="D294" s="159"/>
      <c r="E294" s="159"/>
      <c r="F294" s="159"/>
      <c r="G294" s="159"/>
      <c r="H294" s="159"/>
      <c r="I294" s="159"/>
      <c r="J294" s="159"/>
      <c r="K294" s="159"/>
      <c r="L294" s="161">
        <v>100000</v>
      </c>
      <c r="M294" s="161">
        <v>200000</v>
      </c>
      <c r="N294" s="161">
        <v>200000</v>
      </c>
    </row>
    <row r="295" spans="1:14" x14ac:dyDescent="0.25">
      <c r="A295" s="159"/>
      <c r="B295" s="159"/>
      <c r="C295" s="159" t="s">
        <v>855</v>
      </c>
      <c r="D295" s="161">
        <v>500000</v>
      </c>
      <c r="E295" s="159"/>
      <c r="F295" s="159"/>
      <c r="G295" s="159"/>
      <c r="H295" s="159"/>
      <c r="I295" s="159"/>
      <c r="J295" s="159"/>
      <c r="K295" s="159"/>
      <c r="L295" s="161">
        <v>500000</v>
      </c>
      <c r="M295" s="161">
        <v>600000</v>
      </c>
      <c r="N295" s="161">
        <v>700000</v>
      </c>
    </row>
    <row r="296" spans="1:14" x14ac:dyDescent="0.25">
      <c r="A296" s="159"/>
      <c r="B296" s="159" t="s">
        <v>871</v>
      </c>
      <c r="C296" s="159" t="s">
        <v>856</v>
      </c>
      <c r="D296" s="159"/>
      <c r="E296" s="159"/>
      <c r="F296" s="159"/>
      <c r="G296" s="159"/>
      <c r="H296" s="159"/>
      <c r="I296" s="159"/>
      <c r="J296" s="159"/>
      <c r="K296" s="159"/>
      <c r="L296" s="161">
        <v>1000000</v>
      </c>
      <c r="M296" s="161">
        <v>1000000</v>
      </c>
      <c r="N296" s="161">
        <v>1000000</v>
      </c>
    </row>
    <row r="297" spans="1:14" x14ac:dyDescent="0.25">
      <c r="A297" s="159"/>
      <c r="B297" s="159"/>
      <c r="C297" s="159" t="s">
        <v>857</v>
      </c>
      <c r="D297" s="161">
        <v>200000</v>
      </c>
      <c r="E297" s="159"/>
      <c r="F297" s="159"/>
      <c r="G297" s="159"/>
      <c r="H297" s="159"/>
      <c r="I297" s="159"/>
      <c r="J297" s="159"/>
      <c r="K297" s="159"/>
      <c r="L297" s="161">
        <v>250000</v>
      </c>
      <c r="M297" s="161">
        <v>250000</v>
      </c>
      <c r="N297" s="161">
        <v>250000</v>
      </c>
    </row>
    <row r="298" spans="1:14" x14ac:dyDescent="0.25">
      <c r="A298" s="159"/>
      <c r="B298" s="159" t="s">
        <v>871</v>
      </c>
      <c r="C298" s="159" t="s">
        <v>858</v>
      </c>
      <c r="D298" s="159"/>
      <c r="E298" s="159"/>
      <c r="F298" s="159"/>
      <c r="G298" s="159"/>
      <c r="H298" s="159"/>
      <c r="I298" s="159"/>
      <c r="J298" s="159"/>
      <c r="K298" s="159"/>
      <c r="L298" s="161">
        <v>100000</v>
      </c>
      <c r="M298" s="161">
        <v>100000</v>
      </c>
      <c r="N298" s="161">
        <v>120000</v>
      </c>
    </row>
    <row r="299" spans="1:14" x14ac:dyDescent="0.25">
      <c r="A299" s="159"/>
      <c r="B299" s="159"/>
      <c r="C299" s="159" t="s">
        <v>859</v>
      </c>
      <c r="D299" s="161">
        <v>50000</v>
      </c>
      <c r="E299" s="159"/>
      <c r="F299" s="159"/>
      <c r="G299" s="159"/>
      <c r="H299" s="159"/>
      <c r="I299" s="159"/>
      <c r="J299" s="159"/>
      <c r="K299" s="159"/>
      <c r="L299" s="161">
        <v>90000</v>
      </c>
      <c r="M299" s="161">
        <v>130000</v>
      </c>
      <c r="N299" s="161">
        <v>140000</v>
      </c>
    </row>
    <row r="300" spans="1:14" x14ac:dyDescent="0.25">
      <c r="A300" s="159"/>
      <c r="B300" s="159" t="s">
        <v>871</v>
      </c>
      <c r="C300" s="159" t="s">
        <v>923</v>
      </c>
      <c r="D300" s="159"/>
      <c r="E300" s="159"/>
      <c r="F300" s="159"/>
      <c r="G300" s="159"/>
      <c r="H300" s="159"/>
      <c r="I300" s="159"/>
      <c r="J300" s="159"/>
      <c r="K300" s="159"/>
      <c r="L300" s="161">
        <v>0</v>
      </c>
      <c r="M300" s="161">
        <v>0</v>
      </c>
      <c r="N300" s="161">
        <f>4000000-2000000</f>
        <v>2000000</v>
      </c>
    </row>
    <row r="301" spans="1:14" x14ac:dyDescent="0.25">
      <c r="A301" s="159"/>
      <c r="B301" s="159" t="s">
        <v>871</v>
      </c>
      <c r="C301" s="159" t="s">
        <v>862</v>
      </c>
      <c r="D301" s="159"/>
      <c r="E301" s="159"/>
      <c r="F301" s="159"/>
      <c r="G301" s="159"/>
      <c r="H301" s="159"/>
      <c r="I301" s="159"/>
      <c r="J301" s="159"/>
      <c r="K301" s="159"/>
      <c r="L301" s="163">
        <v>500000</v>
      </c>
      <c r="M301" s="164">
        <v>0</v>
      </c>
      <c r="N301" s="164">
        <v>0</v>
      </c>
    </row>
    <row r="302" spans="1:14" x14ac:dyDescent="0.25">
      <c r="A302" s="159"/>
      <c r="B302" s="159" t="s">
        <v>871</v>
      </c>
      <c r="C302" s="159" t="s">
        <v>860</v>
      </c>
      <c r="D302" s="159"/>
      <c r="E302" s="159"/>
      <c r="F302" s="159"/>
      <c r="G302" s="159"/>
      <c r="H302" s="159"/>
      <c r="I302" s="159"/>
      <c r="J302" s="159"/>
      <c r="K302" s="159"/>
      <c r="L302" s="161">
        <v>0</v>
      </c>
      <c r="M302" s="161">
        <v>2500000</v>
      </c>
      <c r="N302" s="161">
        <f>3000000-1500000</f>
        <v>1500000</v>
      </c>
    </row>
    <row r="303" spans="1:14" x14ac:dyDescent="0.25">
      <c r="A303" s="159"/>
      <c r="B303" s="159" t="s">
        <v>871</v>
      </c>
      <c r="C303" s="159" t="s">
        <v>861</v>
      </c>
      <c r="D303" s="159"/>
      <c r="E303" s="159"/>
      <c r="F303" s="159"/>
      <c r="G303" s="159"/>
      <c r="H303" s="159"/>
      <c r="I303" s="159"/>
      <c r="J303" s="159"/>
      <c r="K303" s="159"/>
      <c r="L303" s="161">
        <v>0</v>
      </c>
      <c r="M303" s="161">
        <v>2500000</v>
      </c>
      <c r="N303" s="161">
        <f>500000</f>
        <v>500000</v>
      </c>
    </row>
    <row r="304" spans="1:14" x14ac:dyDescent="0.25">
      <c r="A304" s="159"/>
      <c r="B304" s="159" t="s">
        <v>871</v>
      </c>
      <c r="C304" s="159" t="s">
        <v>863</v>
      </c>
      <c r="D304" s="159"/>
      <c r="E304" s="159"/>
      <c r="F304" s="159"/>
      <c r="G304" s="159"/>
      <c r="H304" s="159"/>
      <c r="I304" s="159"/>
      <c r="J304" s="159"/>
      <c r="K304" s="159"/>
      <c r="L304" s="161">
        <v>0</v>
      </c>
      <c r="M304" s="161">
        <v>150000</v>
      </c>
      <c r="N304" s="161">
        <v>150000</v>
      </c>
    </row>
    <row r="305" spans="1:14" x14ac:dyDescent="0.25">
      <c r="A305" s="159"/>
      <c r="B305" s="159" t="s">
        <v>871</v>
      </c>
      <c r="C305" s="159" t="s">
        <v>864</v>
      </c>
      <c r="D305" s="159"/>
      <c r="E305" s="159"/>
      <c r="F305" s="159"/>
      <c r="G305" s="159"/>
      <c r="H305" s="159"/>
      <c r="I305" s="159"/>
      <c r="J305" s="159"/>
      <c r="K305" s="159"/>
      <c r="L305" s="161">
        <v>400000</v>
      </c>
      <c r="M305" s="159">
        <v>0</v>
      </c>
      <c r="N305" s="159">
        <v>0</v>
      </c>
    </row>
    <row r="306" spans="1:14" x14ac:dyDescent="0.25">
      <c r="A306" s="159"/>
      <c r="B306" s="159"/>
      <c r="C306" s="159" t="s">
        <v>865</v>
      </c>
      <c r="D306" s="161">
        <v>50000</v>
      </c>
      <c r="E306" s="159"/>
      <c r="F306" s="159"/>
      <c r="G306" s="159"/>
      <c r="H306" s="159"/>
      <c r="I306" s="159"/>
      <c r="J306" s="159"/>
      <c r="K306" s="159"/>
      <c r="L306" s="161">
        <v>50000</v>
      </c>
      <c r="M306" s="161">
        <v>60000</v>
      </c>
      <c r="N306" s="161">
        <v>70000</v>
      </c>
    </row>
    <row r="307" spans="1:14" x14ac:dyDescent="0.25">
      <c r="A307" s="159"/>
      <c r="B307" s="159" t="s">
        <v>871</v>
      </c>
      <c r="C307" s="159" t="s">
        <v>866</v>
      </c>
      <c r="D307" s="159"/>
      <c r="E307" s="159"/>
      <c r="F307" s="159"/>
      <c r="G307" s="159"/>
      <c r="H307" s="159"/>
      <c r="I307" s="159"/>
      <c r="J307" s="159"/>
      <c r="K307" s="159"/>
      <c r="L307" s="161">
        <v>0</v>
      </c>
      <c r="M307" s="161">
        <v>100000</v>
      </c>
      <c r="N307" s="161">
        <v>100000</v>
      </c>
    </row>
    <row r="308" spans="1:14" x14ac:dyDescent="0.25">
      <c r="A308" s="159"/>
      <c r="B308" s="159" t="s">
        <v>871</v>
      </c>
      <c r="C308" s="159" t="s">
        <v>867</v>
      </c>
      <c r="D308" s="159"/>
      <c r="E308" s="159"/>
      <c r="F308" s="159"/>
      <c r="G308" s="159"/>
      <c r="H308" s="159"/>
      <c r="I308" s="159"/>
      <c r="J308" s="159"/>
      <c r="K308" s="159"/>
      <c r="L308" s="161">
        <v>0</v>
      </c>
      <c r="M308" s="161">
        <v>900000</v>
      </c>
      <c r="N308" s="161">
        <v>1000000</v>
      </c>
    </row>
    <row r="309" spans="1:14" x14ac:dyDescent="0.25">
      <c r="A309" s="159"/>
      <c r="B309" s="159" t="s">
        <v>871</v>
      </c>
      <c r="C309" s="159" t="s">
        <v>868</v>
      </c>
      <c r="D309" s="159"/>
      <c r="E309" s="159"/>
      <c r="F309" s="159"/>
      <c r="G309" s="159"/>
      <c r="H309" s="159"/>
      <c r="I309" s="159"/>
      <c r="J309" s="159"/>
      <c r="K309" s="159"/>
      <c r="L309" s="165">
        <v>0</v>
      </c>
      <c r="M309" s="165">
        <v>200000</v>
      </c>
      <c r="N309" s="166">
        <v>150000</v>
      </c>
    </row>
    <row r="310" spans="1:14" x14ac:dyDescent="0.25">
      <c r="A310" s="159"/>
      <c r="B310" s="159" t="s">
        <v>871</v>
      </c>
      <c r="C310" s="159" t="s">
        <v>869</v>
      </c>
      <c r="D310" s="159"/>
      <c r="E310" s="159"/>
      <c r="F310" s="159"/>
      <c r="G310" s="159"/>
      <c r="H310" s="159"/>
      <c r="I310" s="159"/>
      <c r="J310" s="159"/>
      <c r="K310" s="159"/>
      <c r="L310" s="165">
        <v>0</v>
      </c>
      <c r="M310" s="165">
        <v>70000</v>
      </c>
      <c r="N310" s="165">
        <v>80000</v>
      </c>
    </row>
    <row r="311" spans="1:14" x14ac:dyDescent="0.25">
      <c r="A311" s="159"/>
      <c r="B311" s="159"/>
      <c r="C311" s="162" t="s">
        <v>870</v>
      </c>
      <c r="D311" s="161">
        <v>100000</v>
      </c>
      <c r="E311" s="159"/>
      <c r="F311" s="159"/>
      <c r="G311" s="159"/>
      <c r="H311" s="159"/>
      <c r="I311" s="159"/>
      <c r="J311" s="159"/>
      <c r="K311" s="159"/>
      <c r="L311" s="161">
        <v>100000</v>
      </c>
      <c r="M311" s="161">
        <v>100000</v>
      </c>
      <c r="N311" s="161">
        <v>100000</v>
      </c>
    </row>
    <row r="312" spans="1:14" s="4" customFormat="1" x14ac:dyDescent="0.25">
      <c r="A312" s="167"/>
      <c r="B312" s="113"/>
      <c r="C312" s="167" t="s">
        <v>849</v>
      </c>
      <c r="D312" s="114">
        <v>10221262</v>
      </c>
      <c r="E312" s="114">
        <v>0</v>
      </c>
      <c r="F312" s="114">
        <v>774159.34</v>
      </c>
      <c r="G312" s="114">
        <v>0</v>
      </c>
      <c r="H312" s="114">
        <v>6411388.46</v>
      </c>
      <c r="I312" s="114">
        <v>0</v>
      </c>
      <c r="J312" s="114">
        <v>2951873.54</v>
      </c>
      <c r="K312" s="114">
        <v>723.64</v>
      </c>
      <c r="L312" s="114">
        <f>SUM(L275:L311)</f>
        <v>16635057.720000001</v>
      </c>
      <c r="M312" s="114">
        <f t="shared" ref="M312:N312" si="28">SUM(M275:M311)</f>
        <v>22150561.183200002</v>
      </c>
      <c r="N312" s="114">
        <f t="shared" si="28"/>
        <v>20991794.854192004</v>
      </c>
    </row>
    <row r="313" spans="1:14" x14ac:dyDescent="0.25">
      <c r="A313" s="159"/>
      <c r="B313" s="108"/>
      <c r="C313" s="159"/>
      <c r="L313" s="159"/>
    </row>
    <row r="314" spans="1:14" x14ac:dyDescent="0.25">
      <c r="B314" s="108"/>
      <c r="L314" s="111"/>
    </row>
    <row r="315" spans="1:14" x14ac:dyDescent="0.25">
      <c r="A315" s="109" t="s">
        <v>11</v>
      </c>
      <c r="B315" s="108" t="s">
        <v>562</v>
      </c>
      <c r="C315" s="109" t="s">
        <v>563</v>
      </c>
      <c r="D315" s="110">
        <v>1030875</v>
      </c>
      <c r="F315" s="110">
        <v>86356.25</v>
      </c>
      <c r="G315" s="110">
        <v>0</v>
      </c>
      <c r="H315" s="110">
        <v>690850</v>
      </c>
      <c r="J315" s="110">
        <v>340025</v>
      </c>
      <c r="K315" s="110">
        <v>67.010000000000005</v>
      </c>
      <c r="L315" s="111">
        <f>D315*1.06</f>
        <v>1092727.5</v>
      </c>
      <c r="M315" s="110">
        <f>L315*1.06</f>
        <v>1158291.1500000001</v>
      </c>
      <c r="N315" s="110">
        <f>M315*1.06</f>
        <v>1227788.6190000002</v>
      </c>
    </row>
    <row r="316" spans="1:14" x14ac:dyDescent="0.25">
      <c r="A316" s="109" t="s">
        <v>11</v>
      </c>
      <c r="B316" s="108" t="s">
        <v>564</v>
      </c>
      <c r="C316" s="109" t="s">
        <v>565</v>
      </c>
      <c r="D316" s="110">
        <v>74375</v>
      </c>
      <c r="F316" s="110">
        <v>6000</v>
      </c>
      <c r="G316" s="110">
        <v>0</v>
      </c>
      <c r="H316" s="110">
        <v>48000</v>
      </c>
      <c r="J316" s="110">
        <v>26375</v>
      </c>
      <c r="K316" s="110">
        <v>64.53</v>
      </c>
      <c r="L316" s="111">
        <f t="shared" ref="L316:L338" si="29">D316*1.06</f>
        <v>78837.5</v>
      </c>
      <c r="M316" s="110">
        <f t="shared" ref="M316:N338" si="30">L316*1.06</f>
        <v>83567.75</v>
      </c>
      <c r="N316" s="110">
        <f t="shared" si="30"/>
        <v>88581.815000000002</v>
      </c>
    </row>
    <row r="317" spans="1:14" x14ac:dyDescent="0.25">
      <c r="A317" s="109" t="s">
        <v>11</v>
      </c>
      <c r="B317" s="108" t="s">
        <v>566</v>
      </c>
      <c r="C317" s="109" t="s">
        <v>567</v>
      </c>
      <c r="D317" s="110">
        <v>0</v>
      </c>
      <c r="F317" s="110">
        <v>0</v>
      </c>
      <c r="G317" s="110">
        <v>0</v>
      </c>
      <c r="H317" s="110">
        <v>11071.9</v>
      </c>
      <c r="J317" s="110">
        <v>-11071.9</v>
      </c>
      <c r="K317" s="110">
        <v>0</v>
      </c>
      <c r="L317" s="111">
        <f t="shared" si="29"/>
        <v>0</v>
      </c>
      <c r="M317" s="110">
        <f t="shared" si="30"/>
        <v>0</v>
      </c>
      <c r="N317" s="110">
        <f t="shared" si="30"/>
        <v>0</v>
      </c>
    </row>
    <row r="318" spans="1:14" x14ac:dyDescent="0.25">
      <c r="A318" s="109" t="s">
        <v>11</v>
      </c>
      <c r="B318" s="108" t="s">
        <v>568</v>
      </c>
      <c r="C318" s="109" t="s">
        <v>569</v>
      </c>
      <c r="D318" s="110">
        <v>0</v>
      </c>
      <c r="F318" s="110">
        <v>0</v>
      </c>
      <c r="G318" s="110">
        <v>0</v>
      </c>
      <c r="H318" s="110">
        <v>0</v>
      </c>
      <c r="J318" s="110">
        <v>0</v>
      </c>
      <c r="K318" s="110">
        <v>0</v>
      </c>
      <c r="L318" s="111">
        <f t="shared" si="29"/>
        <v>0</v>
      </c>
      <c r="M318" s="110">
        <f t="shared" si="30"/>
        <v>0</v>
      </c>
      <c r="N318" s="110">
        <f t="shared" si="30"/>
        <v>0</v>
      </c>
    </row>
    <row r="319" spans="1:14" x14ac:dyDescent="0.25">
      <c r="A319" s="109" t="s">
        <v>11</v>
      </c>
      <c r="B319" s="108" t="s">
        <v>570</v>
      </c>
      <c r="C319" s="109" t="s">
        <v>571</v>
      </c>
      <c r="D319" s="110">
        <v>14868</v>
      </c>
      <c r="F319" s="110">
        <v>0</v>
      </c>
      <c r="G319" s="110">
        <v>0</v>
      </c>
      <c r="H319" s="110">
        <v>0</v>
      </c>
      <c r="J319" s="110">
        <v>14868</v>
      </c>
      <c r="K319" s="110">
        <v>0</v>
      </c>
      <c r="L319" s="111">
        <f t="shared" si="29"/>
        <v>15760.08</v>
      </c>
      <c r="M319" s="110">
        <f t="shared" si="30"/>
        <v>16705.684799999999</v>
      </c>
      <c r="N319" s="110">
        <f t="shared" si="30"/>
        <v>17708.025888</v>
      </c>
    </row>
    <row r="320" spans="1:14" x14ac:dyDescent="0.25">
      <c r="A320" s="109" t="s">
        <v>11</v>
      </c>
      <c r="B320" s="108" t="s">
        <v>572</v>
      </c>
      <c r="C320" s="109" t="s">
        <v>573</v>
      </c>
      <c r="D320" s="110">
        <v>0</v>
      </c>
      <c r="F320" s="110">
        <v>0</v>
      </c>
      <c r="G320" s="110">
        <v>0</v>
      </c>
      <c r="H320" s="110">
        <v>0</v>
      </c>
      <c r="J320" s="110">
        <v>0</v>
      </c>
      <c r="K320" s="110">
        <v>0</v>
      </c>
      <c r="L320" s="111">
        <f t="shared" si="29"/>
        <v>0</v>
      </c>
      <c r="M320" s="110">
        <f t="shared" si="30"/>
        <v>0</v>
      </c>
      <c r="N320" s="110">
        <f t="shared" si="30"/>
        <v>0</v>
      </c>
    </row>
    <row r="321" spans="1:15" x14ac:dyDescent="0.25">
      <c r="A321" s="109" t="s">
        <v>11</v>
      </c>
      <c r="B321" s="108" t="s">
        <v>574</v>
      </c>
      <c r="C321" s="109" t="s">
        <v>575</v>
      </c>
      <c r="D321" s="110">
        <v>133875</v>
      </c>
      <c r="F321" s="110">
        <v>0</v>
      </c>
      <c r="G321" s="110">
        <v>0</v>
      </c>
      <c r="H321" s="110">
        <v>0</v>
      </c>
      <c r="J321" s="110">
        <v>133875</v>
      </c>
      <c r="K321" s="110">
        <v>0</v>
      </c>
      <c r="L321" s="111">
        <f t="shared" si="29"/>
        <v>141907.5</v>
      </c>
      <c r="M321" s="110">
        <f t="shared" si="30"/>
        <v>150421.95000000001</v>
      </c>
      <c r="N321" s="110">
        <f t="shared" si="30"/>
        <v>159447.26700000002</v>
      </c>
    </row>
    <row r="322" spans="1:15" x14ac:dyDescent="0.25">
      <c r="A322" s="109" t="s">
        <v>11</v>
      </c>
      <c r="B322" s="108" t="s">
        <v>576</v>
      </c>
      <c r="C322" s="109" t="s">
        <v>13</v>
      </c>
      <c r="D322" s="110">
        <v>34381609</v>
      </c>
      <c r="F322" s="110">
        <v>3207730.18</v>
      </c>
      <c r="G322" s="110">
        <v>0</v>
      </c>
      <c r="H322" s="110">
        <v>26668373.120000001</v>
      </c>
      <c r="J322" s="110">
        <v>7713235.8799999999</v>
      </c>
      <c r="K322" s="110">
        <v>77.56</v>
      </c>
      <c r="L322" s="111">
        <f t="shared" si="29"/>
        <v>36444505.539999999</v>
      </c>
      <c r="M322" s="110">
        <f t="shared" si="30"/>
        <v>38631175.872400001</v>
      </c>
      <c r="N322" s="110">
        <f t="shared" si="30"/>
        <v>40949046.424744003</v>
      </c>
    </row>
    <row r="323" spans="1:15" x14ac:dyDescent="0.25">
      <c r="B323" s="108"/>
      <c r="C323" s="109" t="s">
        <v>928</v>
      </c>
      <c r="L323" s="111">
        <v>3000000</v>
      </c>
      <c r="M323" s="110">
        <f t="shared" si="30"/>
        <v>3180000</v>
      </c>
      <c r="N323" s="110">
        <f t="shared" si="30"/>
        <v>3370800</v>
      </c>
      <c r="O323" t="s">
        <v>929</v>
      </c>
    </row>
    <row r="324" spans="1:15" x14ac:dyDescent="0.25">
      <c r="B324" s="108"/>
      <c r="C324" s="109" t="s">
        <v>13</v>
      </c>
      <c r="L324" s="111"/>
    </row>
    <row r="325" spans="1:15" x14ac:dyDescent="0.25">
      <c r="A325" s="109" t="s">
        <v>11</v>
      </c>
      <c r="B325" s="108" t="s">
        <v>577</v>
      </c>
      <c r="C325" s="109" t="s">
        <v>15</v>
      </c>
      <c r="D325" s="110">
        <v>87613</v>
      </c>
      <c r="F325" s="110">
        <v>6195</v>
      </c>
      <c r="G325" s="110">
        <v>0</v>
      </c>
      <c r="H325" s="110">
        <v>50559</v>
      </c>
      <c r="J325" s="110">
        <v>37054</v>
      </c>
      <c r="K325" s="110">
        <v>57.7</v>
      </c>
      <c r="L325" s="111">
        <f t="shared" si="29"/>
        <v>92869.78</v>
      </c>
      <c r="M325" s="110">
        <f t="shared" si="30"/>
        <v>98441.966800000009</v>
      </c>
      <c r="N325" s="110">
        <f t="shared" si="30"/>
        <v>104348.48480800001</v>
      </c>
    </row>
    <row r="326" spans="1:15" x14ac:dyDescent="0.25">
      <c r="A326" s="109" t="s">
        <v>11</v>
      </c>
      <c r="B326" s="108" t="s">
        <v>578</v>
      </c>
      <c r="C326" s="109" t="s">
        <v>17</v>
      </c>
      <c r="D326" s="110">
        <v>276432</v>
      </c>
      <c r="F326" s="110">
        <v>24112.75</v>
      </c>
      <c r="G326" s="110">
        <v>0</v>
      </c>
      <c r="H326" s="110">
        <v>190008.47</v>
      </c>
      <c r="J326" s="110">
        <v>86423.53</v>
      </c>
      <c r="K326" s="110">
        <v>68.73</v>
      </c>
      <c r="L326" s="111">
        <f t="shared" si="29"/>
        <v>293017.92000000004</v>
      </c>
      <c r="M326" s="110">
        <f t="shared" si="30"/>
        <v>310598.99520000006</v>
      </c>
      <c r="N326" s="110">
        <f t="shared" si="30"/>
        <v>329234.93491200008</v>
      </c>
    </row>
    <row r="327" spans="1:15" x14ac:dyDescent="0.25">
      <c r="A327" s="109" t="s">
        <v>11</v>
      </c>
      <c r="B327" s="108" t="s">
        <v>579</v>
      </c>
      <c r="C327" s="109" t="s">
        <v>19</v>
      </c>
      <c r="D327" s="110">
        <v>388899</v>
      </c>
      <c r="F327" s="110">
        <v>0</v>
      </c>
      <c r="G327" s="110">
        <v>0</v>
      </c>
      <c r="H327" s="110">
        <v>0</v>
      </c>
      <c r="J327" s="110">
        <v>388899</v>
      </c>
      <c r="K327" s="110">
        <v>0</v>
      </c>
      <c r="L327" s="111">
        <f t="shared" si="29"/>
        <v>412232.94</v>
      </c>
      <c r="M327" s="110">
        <f t="shared" si="30"/>
        <v>436966.91640000005</v>
      </c>
      <c r="N327" s="110">
        <f t="shared" si="30"/>
        <v>463184.93138400005</v>
      </c>
    </row>
    <row r="328" spans="1:15" x14ac:dyDescent="0.25">
      <c r="A328" s="109" t="s">
        <v>11</v>
      </c>
      <c r="B328" s="108" t="s">
        <v>580</v>
      </c>
      <c r="C328" s="109" t="s">
        <v>21</v>
      </c>
      <c r="D328" s="110">
        <v>3359988</v>
      </c>
      <c r="F328" s="110">
        <v>380564.74</v>
      </c>
      <c r="G328" s="110">
        <v>0</v>
      </c>
      <c r="H328" s="110">
        <v>2766403.5</v>
      </c>
      <c r="J328" s="110">
        <v>593584.5</v>
      </c>
      <c r="K328" s="110">
        <v>82.33</v>
      </c>
      <c r="L328" s="111">
        <f t="shared" si="29"/>
        <v>3561587.2800000003</v>
      </c>
      <c r="M328" s="110">
        <f t="shared" si="30"/>
        <v>3775282.5168000003</v>
      </c>
      <c r="N328" s="110">
        <f t="shared" si="30"/>
        <v>4001799.4678080007</v>
      </c>
    </row>
    <row r="329" spans="1:15" x14ac:dyDescent="0.25">
      <c r="A329" s="109" t="s">
        <v>11</v>
      </c>
      <c r="B329" s="108" t="s">
        <v>581</v>
      </c>
      <c r="C329" s="109" t="s">
        <v>128</v>
      </c>
      <c r="D329" s="110">
        <v>9469691</v>
      </c>
      <c r="F329" s="110">
        <v>923755.39</v>
      </c>
      <c r="G329" s="110">
        <v>0</v>
      </c>
      <c r="H329" s="110">
        <v>7452272.3200000003</v>
      </c>
      <c r="J329" s="110">
        <v>2017418.68</v>
      </c>
      <c r="K329" s="110">
        <v>78.69</v>
      </c>
      <c r="L329" s="111">
        <f t="shared" si="29"/>
        <v>10037872.460000001</v>
      </c>
      <c r="M329" s="110">
        <f t="shared" si="30"/>
        <v>10640144.807600001</v>
      </c>
      <c r="N329" s="110">
        <f t="shared" si="30"/>
        <v>11278553.496056002</v>
      </c>
    </row>
    <row r="330" spans="1:15" x14ac:dyDescent="0.25">
      <c r="A330" s="109" t="s">
        <v>11</v>
      </c>
      <c r="B330" s="108" t="s">
        <v>582</v>
      </c>
      <c r="C330" s="109" t="s">
        <v>23</v>
      </c>
      <c r="D330" s="110">
        <v>600000</v>
      </c>
      <c r="F330" s="110">
        <v>0</v>
      </c>
      <c r="G330" s="110">
        <v>0</v>
      </c>
      <c r="H330" s="110">
        <v>0</v>
      </c>
      <c r="J330" s="110">
        <v>600000</v>
      </c>
      <c r="K330" s="110">
        <v>0</v>
      </c>
      <c r="L330" s="111">
        <f t="shared" si="29"/>
        <v>636000</v>
      </c>
      <c r="M330" s="110">
        <f t="shared" si="30"/>
        <v>674160</v>
      </c>
      <c r="N330" s="110">
        <f t="shared" si="30"/>
        <v>714609.60000000009</v>
      </c>
    </row>
    <row r="331" spans="1:15" s="7" customFormat="1" x14ac:dyDescent="0.25">
      <c r="A331" s="109"/>
      <c r="B331" s="108" t="s">
        <v>822</v>
      </c>
      <c r="C331" s="109" t="s">
        <v>823</v>
      </c>
      <c r="D331" s="110"/>
      <c r="E331" s="110"/>
      <c r="F331" s="110"/>
      <c r="G331" s="110"/>
      <c r="H331" s="110"/>
      <c r="I331" s="110"/>
      <c r="J331" s="110"/>
      <c r="K331" s="110"/>
      <c r="L331" s="111">
        <v>600000</v>
      </c>
      <c r="M331" s="110">
        <f t="shared" si="30"/>
        <v>636000</v>
      </c>
      <c r="N331" s="110">
        <f t="shared" si="30"/>
        <v>674160</v>
      </c>
    </row>
    <row r="332" spans="1:15" x14ac:dyDescent="0.25">
      <c r="A332" s="109" t="s">
        <v>11</v>
      </c>
      <c r="B332" s="108" t="s">
        <v>583</v>
      </c>
      <c r="C332" s="109" t="s">
        <v>31</v>
      </c>
      <c r="D332" s="110">
        <v>13550</v>
      </c>
      <c r="F332" s="110">
        <v>1257.1199999999999</v>
      </c>
      <c r="G332" s="110">
        <v>0</v>
      </c>
      <c r="H332" s="110">
        <v>9305.2800000000007</v>
      </c>
      <c r="J332" s="110">
        <v>4244.72</v>
      </c>
      <c r="K332" s="110">
        <v>68.67</v>
      </c>
      <c r="L332" s="111">
        <f t="shared" si="29"/>
        <v>14363</v>
      </c>
      <c r="M332" s="110">
        <f t="shared" si="30"/>
        <v>15224.78</v>
      </c>
      <c r="N332" s="110">
        <f t="shared" si="30"/>
        <v>16138.266800000001</v>
      </c>
    </row>
    <row r="333" spans="1:15" x14ac:dyDescent="0.25">
      <c r="A333" s="109" t="s">
        <v>11</v>
      </c>
      <c r="B333" s="108" t="s">
        <v>584</v>
      </c>
      <c r="C333" s="109" t="s">
        <v>34</v>
      </c>
      <c r="D333" s="110">
        <v>189513</v>
      </c>
      <c r="F333" s="110">
        <v>15483.48</v>
      </c>
      <c r="G333" s="110">
        <v>0</v>
      </c>
      <c r="H333" s="110">
        <v>120879.72</v>
      </c>
      <c r="J333" s="110">
        <v>68633.279999999999</v>
      </c>
      <c r="K333" s="110">
        <v>63.78</v>
      </c>
      <c r="L333" s="111">
        <f t="shared" si="29"/>
        <v>200883.78</v>
      </c>
      <c r="M333" s="110">
        <f t="shared" si="30"/>
        <v>212936.80680000002</v>
      </c>
      <c r="N333" s="110">
        <f t="shared" si="30"/>
        <v>225713.01520800003</v>
      </c>
    </row>
    <row r="334" spans="1:15" x14ac:dyDescent="0.25">
      <c r="A334" s="109" t="s">
        <v>11</v>
      </c>
      <c r="B334" s="108" t="s">
        <v>585</v>
      </c>
      <c r="C334" s="109" t="s">
        <v>36</v>
      </c>
      <c r="D334" s="110">
        <v>2984015</v>
      </c>
      <c r="F334" s="110">
        <v>286723.32</v>
      </c>
      <c r="G334" s="110">
        <v>0</v>
      </c>
      <c r="H334" s="110">
        <v>2212189.42</v>
      </c>
      <c r="J334" s="110">
        <v>771825.58</v>
      </c>
      <c r="K334" s="110">
        <v>74.13</v>
      </c>
      <c r="L334" s="111">
        <f t="shared" si="29"/>
        <v>3163055.9000000004</v>
      </c>
      <c r="M334" s="110">
        <f t="shared" si="30"/>
        <v>3352839.2540000007</v>
      </c>
      <c r="N334" s="110">
        <f t="shared" si="30"/>
        <v>3554009.6092400011</v>
      </c>
    </row>
    <row r="335" spans="1:15" x14ac:dyDescent="0.25">
      <c r="A335" s="109" t="s">
        <v>11</v>
      </c>
      <c r="B335" s="108" t="s">
        <v>586</v>
      </c>
      <c r="C335" s="109" t="s">
        <v>38</v>
      </c>
      <c r="D335" s="110">
        <v>6075656</v>
      </c>
      <c r="F335" s="110">
        <v>537331.53</v>
      </c>
      <c r="G335" s="110">
        <v>0</v>
      </c>
      <c r="H335" s="110">
        <v>4275767.28</v>
      </c>
      <c r="J335" s="110">
        <v>1799888.72</v>
      </c>
      <c r="K335" s="110">
        <v>70.37</v>
      </c>
      <c r="L335" s="111">
        <f t="shared" si="29"/>
        <v>6440195.3600000003</v>
      </c>
      <c r="M335" s="110">
        <f t="shared" si="30"/>
        <v>6826607.0816000011</v>
      </c>
      <c r="N335" s="110">
        <f t="shared" si="30"/>
        <v>7236203.506496002</v>
      </c>
    </row>
    <row r="336" spans="1:15" x14ac:dyDescent="0.25">
      <c r="A336" s="109" t="s">
        <v>11</v>
      </c>
      <c r="B336" s="108" t="s">
        <v>587</v>
      </c>
      <c r="C336" s="109" t="s">
        <v>40</v>
      </c>
      <c r="D336" s="110">
        <v>222758</v>
      </c>
      <c r="F336" s="110">
        <v>16210.48</v>
      </c>
      <c r="G336" s="110">
        <v>0</v>
      </c>
      <c r="H336" s="110">
        <v>129683.84</v>
      </c>
      <c r="J336" s="110">
        <v>93074.16</v>
      </c>
      <c r="K336" s="110">
        <v>58.21</v>
      </c>
      <c r="L336" s="111">
        <f t="shared" si="29"/>
        <v>236123.48</v>
      </c>
      <c r="M336" s="110">
        <f t="shared" si="30"/>
        <v>250290.88880000002</v>
      </c>
      <c r="N336" s="110">
        <f t="shared" si="30"/>
        <v>265308.34212800005</v>
      </c>
    </row>
    <row r="337" spans="1:14" x14ac:dyDescent="0.25">
      <c r="A337" s="109" t="s">
        <v>11</v>
      </c>
      <c r="B337" s="108" t="s">
        <v>588</v>
      </c>
      <c r="C337" s="109" t="s">
        <v>42</v>
      </c>
      <c r="D337" s="110">
        <v>123237</v>
      </c>
      <c r="F337" s="110">
        <v>0</v>
      </c>
      <c r="G337" s="110">
        <v>0</v>
      </c>
      <c r="H337" s="110">
        <v>0</v>
      </c>
      <c r="J337" s="110">
        <v>123237</v>
      </c>
      <c r="K337" s="110">
        <v>0</v>
      </c>
      <c r="L337" s="111">
        <f t="shared" si="29"/>
        <v>130631.22</v>
      </c>
      <c r="M337" s="110">
        <f t="shared" si="30"/>
        <v>138469.0932</v>
      </c>
      <c r="N337" s="110">
        <f t="shared" si="30"/>
        <v>146777.23879200002</v>
      </c>
    </row>
    <row r="338" spans="1:14" x14ac:dyDescent="0.25">
      <c r="A338" s="109" t="s">
        <v>11</v>
      </c>
      <c r="B338" s="108" t="s">
        <v>589</v>
      </c>
      <c r="C338" s="109" t="s">
        <v>44</v>
      </c>
      <c r="D338" s="110">
        <v>0</v>
      </c>
      <c r="F338" s="110">
        <v>0</v>
      </c>
      <c r="G338" s="110">
        <v>0</v>
      </c>
      <c r="H338" s="110">
        <v>153740.47</v>
      </c>
      <c r="J338" s="110">
        <v>-153740.47</v>
      </c>
      <c r="K338" s="110">
        <v>0</v>
      </c>
      <c r="L338" s="111">
        <f t="shared" si="29"/>
        <v>0</v>
      </c>
      <c r="M338" s="110">
        <f t="shared" si="30"/>
        <v>0</v>
      </c>
    </row>
    <row r="339" spans="1:14" x14ac:dyDescent="0.25">
      <c r="A339" s="109" t="s">
        <v>11</v>
      </c>
      <c r="B339" s="108" t="s">
        <v>590</v>
      </c>
      <c r="C339" s="109" t="s">
        <v>88</v>
      </c>
      <c r="D339" s="110">
        <v>2226</v>
      </c>
      <c r="F339" s="110">
        <v>0</v>
      </c>
      <c r="G339" s="110">
        <v>0</v>
      </c>
      <c r="H339" s="110">
        <v>2000</v>
      </c>
      <c r="J339" s="110">
        <v>226</v>
      </c>
      <c r="K339" s="110">
        <v>89.84</v>
      </c>
      <c r="L339" s="111">
        <f>D339*1.041</f>
        <v>2317.2659999999996</v>
      </c>
      <c r="M339" s="110">
        <f>L339*1.041</f>
        <v>2412.2739059999994</v>
      </c>
      <c r="N339" s="110">
        <f>M339*1.045</f>
        <v>2520.8262317699991</v>
      </c>
    </row>
    <row r="340" spans="1:14" x14ac:dyDescent="0.25">
      <c r="A340" s="109" t="s">
        <v>11</v>
      </c>
      <c r="B340" s="108" t="s">
        <v>591</v>
      </c>
      <c r="C340" s="109" t="s">
        <v>88</v>
      </c>
      <c r="D340" s="110">
        <v>21985</v>
      </c>
      <c r="F340" s="110">
        <v>0</v>
      </c>
      <c r="G340" s="110">
        <v>0</v>
      </c>
      <c r="H340" s="110">
        <v>21984.97</v>
      </c>
      <c r="J340" s="110">
        <v>0.03</v>
      </c>
      <c r="K340" s="110">
        <v>99.99</v>
      </c>
      <c r="L340" s="111">
        <f t="shared" ref="L340:L353" si="31">D340*1.041</f>
        <v>22886.384999999998</v>
      </c>
      <c r="M340" s="110">
        <f t="shared" ref="M340:M353" si="32">L340*1.041</f>
        <v>23824.726784999995</v>
      </c>
      <c r="N340" s="110">
        <f t="shared" ref="N340:N353" si="33">M340*1.045</f>
        <v>24896.839490324994</v>
      </c>
    </row>
    <row r="341" spans="1:14" x14ac:dyDescent="0.25">
      <c r="A341" s="109" t="s">
        <v>11</v>
      </c>
      <c r="B341" s="108" t="s">
        <v>592</v>
      </c>
      <c r="C341" s="109" t="s">
        <v>88</v>
      </c>
      <c r="D341" s="110">
        <v>41942</v>
      </c>
      <c r="F341" s="110">
        <v>0</v>
      </c>
      <c r="G341" s="110">
        <v>0</v>
      </c>
      <c r="H341" s="110">
        <v>41098.120000000003</v>
      </c>
      <c r="J341" s="110">
        <v>843.88</v>
      </c>
      <c r="K341" s="110">
        <v>97.98</v>
      </c>
      <c r="L341" s="111">
        <f t="shared" si="31"/>
        <v>43661.621999999996</v>
      </c>
      <c r="M341" s="110">
        <f t="shared" si="32"/>
        <v>45451.748501999995</v>
      </c>
      <c r="N341" s="110">
        <f t="shared" si="33"/>
        <v>47497.077184589994</v>
      </c>
    </row>
    <row r="342" spans="1:14" x14ac:dyDescent="0.25">
      <c r="A342" s="109" t="s">
        <v>11</v>
      </c>
      <c r="B342" s="108" t="s">
        <v>593</v>
      </c>
      <c r="C342" s="109" t="s">
        <v>88</v>
      </c>
      <c r="D342" s="110">
        <v>20000</v>
      </c>
      <c r="F342" s="110">
        <v>0</v>
      </c>
      <c r="G342" s="110">
        <v>0</v>
      </c>
      <c r="H342" s="110">
        <v>19787.189999999999</v>
      </c>
      <c r="J342" s="110">
        <v>212.81</v>
      </c>
      <c r="K342" s="110">
        <v>98.93</v>
      </c>
      <c r="L342" s="111">
        <f t="shared" si="31"/>
        <v>20820</v>
      </c>
      <c r="M342" s="110">
        <f t="shared" si="32"/>
        <v>21673.62</v>
      </c>
      <c r="N342" s="110">
        <f t="shared" si="33"/>
        <v>22648.932899999996</v>
      </c>
    </row>
    <row r="343" spans="1:14" x14ac:dyDescent="0.25">
      <c r="A343" s="109" t="s">
        <v>11</v>
      </c>
      <c r="B343" s="108" t="s">
        <v>594</v>
      </c>
      <c r="C343" s="109" t="s">
        <v>595</v>
      </c>
      <c r="D343" s="110">
        <v>214862</v>
      </c>
      <c r="F343" s="110">
        <v>0</v>
      </c>
      <c r="G343" s="110">
        <v>-340</v>
      </c>
      <c r="H343" s="110">
        <v>92788.91</v>
      </c>
      <c r="J343" s="110">
        <v>122073.09</v>
      </c>
      <c r="K343" s="110">
        <v>43.18</v>
      </c>
      <c r="L343" s="111">
        <f t="shared" si="31"/>
        <v>223671.34199999998</v>
      </c>
      <c r="M343" s="110">
        <f t="shared" si="32"/>
        <v>232841.86702199996</v>
      </c>
      <c r="N343" s="110">
        <f t="shared" si="33"/>
        <v>243319.75103798995</v>
      </c>
    </row>
    <row r="344" spans="1:14" x14ac:dyDescent="0.25">
      <c r="A344" s="109" t="s">
        <v>11</v>
      </c>
      <c r="B344" s="108" t="s">
        <v>596</v>
      </c>
      <c r="C344" s="109" t="s">
        <v>597</v>
      </c>
      <c r="D344" s="110">
        <v>200000</v>
      </c>
      <c r="F344" s="110">
        <v>0</v>
      </c>
      <c r="G344" s="110">
        <v>0</v>
      </c>
      <c r="H344" s="110">
        <v>0</v>
      </c>
      <c r="J344" s="110">
        <v>200000</v>
      </c>
      <c r="K344" s="110">
        <v>0</v>
      </c>
      <c r="L344" s="111">
        <f t="shared" si="31"/>
        <v>208199.99999999997</v>
      </c>
      <c r="M344" s="110">
        <f t="shared" si="32"/>
        <v>216736.19999999995</v>
      </c>
      <c r="N344" s="110">
        <f t="shared" si="33"/>
        <v>226489.32899999994</v>
      </c>
    </row>
    <row r="345" spans="1:14" x14ac:dyDescent="0.25">
      <c r="A345" s="109" t="s">
        <v>11</v>
      </c>
      <c r="B345" s="108" t="s">
        <v>598</v>
      </c>
      <c r="C345" s="109" t="s">
        <v>321</v>
      </c>
      <c r="D345" s="110">
        <v>280000</v>
      </c>
      <c r="F345" s="110">
        <v>0</v>
      </c>
      <c r="G345" s="110">
        <v>0</v>
      </c>
      <c r="H345" s="110">
        <v>197050</v>
      </c>
      <c r="J345" s="110">
        <v>82950</v>
      </c>
      <c r="K345" s="110">
        <v>70.37</v>
      </c>
      <c r="L345" s="111">
        <f t="shared" si="31"/>
        <v>291480</v>
      </c>
      <c r="M345" s="110">
        <f t="shared" si="32"/>
        <v>303430.68</v>
      </c>
      <c r="N345" s="110">
        <f t="shared" si="33"/>
        <v>317085.06059999997</v>
      </c>
    </row>
    <row r="346" spans="1:14" x14ac:dyDescent="0.25">
      <c r="A346" s="109" t="s">
        <v>11</v>
      </c>
      <c r="B346" s="108" t="s">
        <v>599</v>
      </c>
      <c r="C346" s="109" t="s">
        <v>600</v>
      </c>
      <c r="D346" s="110">
        <v>85982</v>
      </c>
      <c r="F346" s="110">
        <v>0</v>
      </c>
      <c r="G346" s="110">
        <v>0</v>
      </c>
      <c r="H346" s="110">
        <v>78279.740000000005</v>
      </c>
      <c r="J346" s="110">
        <v>7702.26</v>
      </c>
      <c r="K346" s="110">
        <v>91.04</v>
      </c>
      <c r="L346" s="111">
        <f t="shared" si="31"/>
        <v>89507.261999999988</v>
      </c>
      <c r="M346" s="110">
        <f t="shared" si="32"/>
        <v>93177.059741999983</v>
      </c>
      <c r="N346" s="110">
        <f t="shared" si="33"/>
        <v>97370.027430389979</v>
      </c>
    </row>
    <row r="347" spans="1:14" x14ac:dyDescent="0.25">
      <c r="A347" s="109" t="s">
        <v>11</v>
      </c>
      <c r="B347" s="108" t="s">
        <v>601</v>
      </c>
      <c r="C347" s="109" t="s">
        <v>602</v>
      </c>
      <c r="D347" s="110">
        <v>60942</v>
      </c>
      <c r="F347" s="110">
        <v>0</v>
      </c>
      <c r="G347" s="110">
        <v>0</v>
      </c>
      <c r="H347" s="110">
        <v>22420</v>
      </c>
      <c r="J347" s="110">
        <v>38522</v>
      </c>
      <c r="K347" s="110">
        <v>36.78</v>
      </c>
      <c r="L347" s="111">
        <f t="shared" si="31"/>
        <v>63440.621999999996</v>
      </c>
      <c r="M347" s="110">
        <f t="shared" si="32"/>
        <v>66041.687501999986</v>
      </c>
      <c r="N347" s="110">
        <f t="shared" si="33"/>
        <v>69013.563439589983</v>
      </c>
    </row>
    <row r="348" spans="1:14" x14ac:dyDescent="0.25">
      <c r="A348" s="109" t="s">
        <v>11</v>
      </c>
      <c r="B348" s="108" t="s">
        <v>603</v>
      </c>
      <c r="C348" s="109" t="s">
        <v>102</v>
      </c>
      <c r="D348" s="110">
        <v>83885</v>
      </c>
      <c r="F348" s="110">
        <v>0</v>
      </c>
      <c r="G348" s="110">
        <v>0</v>
      </c>
      <c r="H348" s="110">
        <v>19800</v>
      </c>
      <c r="J348" s="110">
        <v>64085</v>
      </c>
      <c r="K348" s="110">
        <v>23.6</v>
      </c>
      <c r="L348" s="111">
        <f t="shared" si="31"/>
        <v>87324.284999999989</v>
      </c>
      <c r="M348" s="110">
        <f t="shared" si="32"/>
        <v>90904.580684999979</v>
      </c>
      <c r="N348" s="110">
        <f t="shared" si="33"/>
        <v>94995.286815824977</v>
      </c>
    </row>
    <row r="349" spans="1:14" x14ac:dyDescent="0.25">
      <c r="A349" s="109" t="s">
        <v>11</v>
      </c>
      <c r="B349" s="108" t="s">
        <v>604</v>
      </c>
      <c r="C349" s="109" t="s">
        <v>107</v>
      </c>
      <c r="D349" s="110">
        <v>505809</v>
      </c>
      <c r="F349" s="110">
        <v>45039.99</v>
      </c>
      <c r="G349" s="110">
        <v>0</v>
      </c>
      <c r="H349" s="110">
        <v>273129.05</v>
      </c>
      <c r="J349" s="110">
        <v>232679.95</v>
      </c>
      <c r="K349" s="110">
        <v>53.99</v>
      </c>
      <c r="L349" s="111">
        <f t="shared" si="31"/>
        <v>526547.16899999999</v>
      </c>
      <c r="M349" s="110">
        <f t="shared" si="32"/>
        <v>548135.60292899993</v>
      </c>
      <c r="N349" s="110">
        <f t="shared" si="33"/>
        <v>572801.70506080484</v>
      </c>
    </row>
    <row r="350" spans="1:14" x14ac:dyDescent="0.25">
      <c r="A350" s="109" t="s">
        <v>11</v>
      </c>
      <c r="B350" s="108" t="s">
        <v>605</v>
      </c>
      <c r="C350" s="109" t="s">
        <v>111</v>
      </c>
      <c r="D350" s="110">
        <v>20000</v>
      </c>
      <c r="F350" s="110">
        <v>3764.2</v>
      </c>
      <c r="G350" s="110">
        <v>0</v>
      </c>
      <c r="H350" s="110">
        <v>6657.77</v>
      </c>
      <c r="J350" s="110">
        <v>13342.23</v>
      </c>
      <c r="K350" s="110">
        <v>33.28</v>
      </c>
      <c r="L350" s="111">
        <f t="shared" si="31"/>
        <v>20820</v>
      </c>
      <c r="M350" s="110">
        <f t="shared" si="32"/>
        <v>21673.62</v>
      </c>
      <c r="N350" s="110">
        <f t="shared" si="33"/>
        <v>22648.932899999996</v>
      </c>
    </row>
    <row r="351" spans="1:14" x14ac:dyDescent="0.25">
      <c r="A351" s="109" t="s">
        <v>11</v>
      </c>
      <c r="B351" s="108" t="s">
        <v>606</v>
      </c>
      <c r="C351" s="109" t="s">
        <v>334</v>
      </c>
      <c r="D351" s="110">
        <v>55651</v>
      </c>
      <c r="F351" s="110">
        <v>0</v>
      </c>
      <c r="G351" s="110">
        <v>0</v>
      </c>
      <c r="H351" s="110">
        <v>0</v>
      </c>
      <c r="J351" s="110">
        <v>55651</v>
      </c>
      <c r="K351" s="110">
        <v>0</v>
      </c>
      <c r="L351" s="111">
        <f t="shared" si="31"/>
        <v>57932.690999999999</v>
      </c>
      <c r="M351" s="110">
        <f t="shared" si="32"/>
        <v>60307.931330999992</v>
      </c>
      <c r="N351" s="110">
        <f t="shared" si="33"/>
        <v>63021.788240894988</v>
      </c>
    </row>
    <row r="352" spans="1:14" x14ac:dyDescent="0.25">
      <c r="A352" s="109" t="s">
        <v>11</v>
      </c>
      <c r="B352" s="108" t="s">
        <v>607</v>
      </c>
      <c r="C352" s="109" t="s">
        <v>334</v>
      </c>
      <c r="D352" s="110">
        <v>200000</v>
      </c>
      <c r="F352" s="110">
        <v>0</v>
      </c>
      <c r="G352" s="110">
        <v>29985</v>
      </c>
      <c r="H352" s="110">
        <v>0</v>
      </c>
      <c r="J352" s="110">
        <v>200000</v>
      </c>
      <c r="K352" s="110">
        <v>0</v>
      </c>
      <c r="L352" s="111">
        <f t="shared" si="31"/>
        <v>208199.99999999997</v>
      </c>
      <c r="M352" s="110">
        <f t="shared" si="32"/>
        <v>216736.19999999995</v>
      </c>
      <c r="N352" s="110">
        <f t="shared" si="33"/>
        <v>226489.32899999994</v>
      </c>
    </row>
    <row r="353" spans="1:14" x14ac:dyDescent="0.25">
      <c r="A353" s="109" t="s">
        <v>11</v>
      </c>
      <c r="B353" s="108" t="s">
        <v>608</v>
      </c>
      <c r="C353" s="109" t="s">
        <v>334</v>
      </c>
      <c r="D353" s="110">
        <v>2428841</v>
      </c>
      <c r="F353" s="110">
        <v>0</v>
      </c>
      <c r="G353" s="110">
        <v>529111.23</v>
      </c>
      <c r="H353" s="110">
        <v>0</v>
      </c>
      <c r="J353" s="110">
        <v>2428841</v>
      </c>
      <c r="K353" s="110">
        <v>0</v>
      </c>
      <c r="L353" s="111">
        <f t="shared" si="31"/>
        <v>2528423.4809999997</v>
      </c>
      <c r="M353" s="110">
        <f t="shared" si="32"/>
        <v>2632088.8437209995</v>
      </c>
      <c r="N353" s="110">
        <f t="shared" si="33"/>
        <v>2750532.8416884444</v>
      </c>
    </row>
    <row r="354" spans="1:14" s="4" customFormat="1" x14ac:dyDescent="0.25">
      <c r="A354" s="112"/>
      <c r="B354" s="113"/>
      <c r="C354" s="112" t="s">
        <v>684</v>
      </c>
      <c r="D354" s="114">
        <f t="shared" ref="D354:N354" si="34">SUM(D315:D353)</f>
        <v>63649079</v>
      </c>
      <c r="E354" s="114">
        <f t="shared" si="34"/>
        <v>0</v>
      </c>
      <c r="F354" s="114">
        <f t="shared" si="34"/>
        <v>5540524.4300000016</v>
      </c>
      <c r="G354" s="114">
        <f t="shared" si="34"/>
        <v>558756.23</v>
      </c>
      <c r="H354" s="114">
        <f t="shared" si="34"/>
        <v>45554100.07</v>
      </c>
      <c r="I354" s="114">
        <f t="shared" si="34"/>
        <v>0</v>
      </c>
      <c r="J354" s="114">
        <f t="shared" si="34"/>
        <v>18094978.93</v>
      </c>
      <c r="K354" s="114">
        <f t="shared" si="34"/>
        <v>1570.6899999999998</v>
      </c>
      <c r="L354" s="119">
        <f t="shared" si="34"/>
        <v>70987803.36499998</v>
      </c>
      <c r="M354" s="119">
        <f t="shared" si="34"/>
        <v>75163562.156525016</v>
      </c>
      <c r="N354" s="119">
        <f t="shared" si="34"/>
        <v>79604744.336284578</v>
      </c>
    </row>
    <row r="355" spans="1:14" x14ac:dyDescent="0.25">
      <c r="B355" s="108"/>
      <c r="L355" s="111"/>
    </row>
    <row r="356" spans="1:14" x14ac:dyDescent="0.25">
      <c r="B356" s="108"/>
    </row>
    <row r="357" spans="1:14" x14ac:dyDescent="0.25">
      <c r="A357" s="109" t="s">
        <v>11</v>
      </c>
      <c r="B357" s="108" t="s">
        <v>609</v>
      </c>
      <c r="C357" s="109" t="s">
        <v>610</v>
      </c>
      <c r="D357" s="110">
        <v>5800000</v>
      </c>
      <c r="F357" s="110">
        <v>103290.97</v>
      </c>
      <c r="G357" s="110">
        <v>185667.62</v>
      </c>
      <c r="H357" s="110">
        <v>1477981.86</v>
      </c>
      <c r="J357" s="110">
        <v>4322018.1399999997</v>
      </c>
      <c r="K357" s="110">
        <v>25.48</v>
      </c>
      <c r="L357" s="111">
        <f>D357*1.041-1500000</f>
        <v>4537800</v>
      </c>
      <c r="M357" s="110">
        <f>L357*1.04</f>
        <v>4719312</v>
      </c>
      <c r="N357" s="110">
        <f>M357*1.045</f>
        <v>4931681.04</v>
      </c>
    </row>
    <row r="358" spans="1:14" s="4" customFormat="1" x14ac:dyDescent="0.25">
      <c r="A358" s="112"/>
      <c r="B358" s="113"/>
      <c r="C358" s="112" t="s">
        <v>685</v>
      </c>
      <c r="D358" s="114">
        <f t="shared" ref="D358:N358" si="35">SUM(D357)</f>
        <v>5800000</v>
      </c>
      <c r="E358" s="114">
        <f t="shared" si="35"/>
        <v>0</v>
      </c>
      <c r="F358" s="114">
        <f t="shared" si="35"/>
        <v>103290.97</v>
      </c>
      <c r="G358" s="114">
        <f t="shared" si="35"/>
        <v>185667.62</v>
      </c>
      <c r="H358" s="114">
        <f t="shared" si="35"/>
        <v>1477981.86</v>
      </c>
      <c r="I358" s="114">
        <f t="shared" si="35"/>
        <v>0</v>
      </c>
      <c r="J358" s="114">
        <f t="shared" si="35"/>
        <v>4322018.1399999997</v>
      </c>
      <c r="K358" s="114">
        <f t="shared" si="35"/>
        <v>25.48</v>
      </c>
      <c r="L358" s="114">
        <f t="shared" si="35"/>
        <v>4537800</v>
      </c>
      <c r="M358" s="114">
        <f t="shared" si="35"/>
        <v>4719312</v>
      </c>
      <c r="N358" s="114">
        <f t="shared" si="35"/>
        <v>4931681.04</v>
      </c>
    </row>
    <row r="359" spans="1:14" x14ac:dyDescent="0.25">
      <c r="B359" s="108"/>
    </row>
    <row r="360" spans="1:14" x14ac:dyDescent="0.25">
      <c r="A360" s="109" t="s">
        <v>11</v>
      </c>
      <c r="B360" s="108" t="s">
        <v>611</v>
      </c>
      <c r="C360" s="109" t="s">
        <v>612</v>
      </c>
      <c r="D360" s="110">
        <v>113688</v>
      </c>
      <c r="F360" s="110">
        <v>0</v>
      </c>
      <c r="G360" s="110">
        <v>0</v>
      </c>
      <c r="H360" s="110">
        <v>35022.400000000001</v>
      </c>
      <c r="J360" s="110">
        <v>78665.600000000006</v>
      </c>
      <c r="K360" s="110">
        <v>30.8</v>
      </c>
      <c r="L360" s="111">
        <f>D360*1.06</f>
        <v>120509.28</v>
      </c>
      <c r="M360" s="110">
        <f>L360*1.06</f>
        <v>127739.8368</v>
      </c>
      <c r="N360" s="110">
        <f>M360*1.06</f>
        <v>135404.22700800002</v>
      </c>
    </row>
    <row r="361" spans="1:14" x14ac:dyDescent="0.25">
      <c r="A361" s="109" t="s">
        <v>11</v>
      </c>
      <c r="B361" s="108" t="s">
        <v>613</v>
      </c>
      <c r="C361" s="109" t="s">
        <v>614</v>
      </c>
      <c r="D361" s="110">
        <v>837705</v>
      </c>
      <c r="F361" s="110">
        <v>0</v>
      </c>
      <c r="G361" s="110">
        <v>0</v>
      </c>
      <c r="H361" s="110">
        <v>282625.03999999998</v>
      </c>
      <c r="J361" s="110">
        <v>555079.96</v>
      </c>
      <c r="K361" s="110">
        <v>33.729999999999997</v>
      </c>
      <c r="L361" s="111">
        <f t="shared" ref="L361:L379" si="36">D361*1.06</f>
        <v>887967.3</v>
      </c>
      <c r="M361" s="110">
        <f t="shared" ref="M361:N379" si="37">L361*1.06</f>
        <v>941245.33800000011</v>
      </c>
      <c r="N361" s="110">
        <f t="shared" si="37"/>
        <v>997720.05828000011</v>
      </c>
    </row>
    <row r="362" spans="1:14" x14ac:dyDescent="0.25">
      <c r="A362" s="109" t="s">
        <v>11</v>
      </c>
      <c r="B362" s="108" t="s">
        <v>615</v>
      </c>
      <c r="C362" s="109" t="s">
        <v>616</v>
      </c>
      <c r="D362" s="110">
        <v>25487</v>
      </c>
      <c r="F362" s="110">
        <v>0</v>
      </c>
      <c r="G362" s="110">
        <v>0</v>
      </c>
      <c r="H362" s="110">
        <v>7996</v>
      </c>
      <c r="J362" s="110">
        <v>17491</v>
      </c>
      <c r="K362" s="110">
        <v>31.37</v>
      </c>
      <c r="L362" s="111">
        <f t="shared" si="36"/>
        <v>27016.22</v>
      </c>
      <c r="M362" s="110">
        <f t="shared" si="37"/>
        <v>28637.193200000002</v>
      </c>
      <c r="N362" s="110">
        <f t="shared" si="37"/>
        <v>30355.424792000002</v>
      </c>
    </row>
    <row r="363" spans="1:14" x14ac:dyDescent="0.25">
      <c r="A363" s="109" t="s">
        <v>11</v>
      </c>
      <c r="B363" s="108" t="s">
        <v>617</v>
      </c>
      <c r="C363" s="109" t="s">
        <v>618</v>
      </c>
      <c r="D363" s="110">
        <v>127500</v>
      </c>
      <c r="F363" s="110">
        <v>0</v>
      </c>
      <c r="G363" s="110">
        <v>0</v>
      </c>
      <c r="H363" s="110">
        <v>24000</v>
      </c>
      <c r="J363" s="110">
        <v>103500</v>
      </c>
      <c r="K363" s="110">
        <v>18.82</v>
      </c>
      <c r="L363" s="111">
        <f t="shared" si="36"/>
        <v>135150</v>
      </c>
      <c r="M363" s="110">
        <f t="shared" si="37"/>
        <v>143259</v>
      </c>
      <c r="N363" s="110">
        <f t="shared" si="37"/>
        <v>151854.54</v>
      </c>
    </row>
    <row r="364" spans="1:14" x14ac:dyDescent="0.25">
      <c r="A364" s="109" t="s">
        <v>11</v>
      </c>
      <c r="B364" s="108" t="s">
        <v>619</v>
      </c>
      <c r="C364" s="109" t="s">
        <v>620</v>
      </c>
      <c r="D364" s="110">
        <v>230615</v>
      </c>
      <c r="F364" s="110">
        <v>0</v>
      </c>
      <c r="G364" s="110">
        <v>0</v>
      </c>
      <c r="H364" s="110">
        <v>21196.880000000001</v>
      </c>
      <c r="J364" s="110">
        <v>209418.12</v>
      </c>
      <c r="K364" s="110">
        <v>9.19</v>
      </c>
      <c r="L364" s="111">
        <f t="shared" si="36"/>
        <v>244451.90000000002</v>
      </c>
      <c r="M364" s="110">
        <f t="shared" si="37"/>
        <v>259119.01400000002</v>
      </c>
      <c r="N364" s="110">
        <f t="shared" si="37"/>
        <v>274666.15484000003</v>
      </c>
    </row>
    <row r="365" spans="1:14" x14ac:dyDescent="0.25">
      <c r="A365" s="109" t="s">
        <v>11</v>
      </c>
      <c r="B365" s="108" t="s">
        <v>621</v>
      </c>
      <c r="C365" s="109" t="s">
        <v>13</v>
      </c>
      <c r="D365" s="110">
        <v>22505323</v>
      </c>
      <c r="F365" s="110">
        <v>1903347.66</v>
      </c>
      <c r="G365" s="110">
        <v>0</v>
      </c>
      <c r="H365" s="110">
        <v>15952898.99</v>
      </c>
      <c r="J365" s="110">
        <v>6552424.0099999998</v>
      </c>
      <c r="K365" s="110">
        <v>70.88</v>
      </c>
      <c r="L365" s="111">
        <f t="shared" si="36"/>
        <v>23855642.380000003</v>
      </c>
      <c r="M365" s="110">
        <f t="shared" si="37"/>
        <v>25286980.922800004</v>
      </c>
      <c r="N365" s="110">
        <f t="shared" si="37"/>
        <v>26804199.778168008</v>
      </c>
    </row>
    <row r="366" spans="1:14" x14ac:dyDescent="0.25">
      <c r="A366" s="109" t="s">
        <v>11</v>
      </c>
      <c r="B366" s="108" t="s">
        <v>622</v>
      </c>
      <c r="C366" s="109" t="s">
        <v>13</v>
      </c>
      <c r="D366" s="110">
        <v>2306000</v>
      </c>
      <c r="F366" s="110">
        <v>0</v>
      </c>
      <c r="G366" s="110">
        <v>0</v>
      </c>
      <c r="H366" s="110">
        <v>0</v>
      </c>
      <c r="J366" s="110">
        <v>2306000</v>
      </c>
      <c r="K366" s="110">
        <v>0</v>
      </c>
      <c r="L366" s="111">
        <f t="shared" si="36"/>
        <v>2444360</v>
      </c>
      <c r="M366" s="110">
        <f t="shared" si="37"/>
        <v>2591021.6</v>
      </c>
      <c r="N366" s="110">
        <f t="shared" si="37"/>
        <v>2746482.8960000002</v>
      </c>
    </row>
    <row r="367" spans="1:14" x14ac:dyDescent="0.25">
      <c r="A367" s="109" t="s">
        <v>11</v>
      </c>
      <c r="B367" s="108" t="s">
        <v>623</v>
      </c>
      <c r="C367" s="109" t="s">
        <v>15</v>
      </c>
      <c r="D367" s="110">
        <v>549153</v>
      </c>
      <c r="F367" s="110">
        <v>25377</v>
      </c>
      <c r="G367" s="110">
        <v>0</v>
      </c>
      <c r="H367" s="110">
        <v>195024</v>
      </c>
      <c r="J367" s="110">
        <v>354129</v>
      </c>
      <c r="K367" s="110">
        <v>35.51</v>
      </c>
      <c r="L367" s="111">
        <f t="shared" si="36"/>
        <v>582102.18000000005</v>
      </c>
      <c r="M367" s="110">
        <f t="shared" si="37"/>
        <v>617028.31080000009</v>
      </c>
      <c r="N367" s="110">
        <f t="shared" si="37"/>
        <v>654050.00944800011</v>
      </c>
    </row>
    <row r="368" spans="1:14" x14ac:dyDescent="0.25">
      <c r="A368" s="109" t="s">
        <v>11</v>
      </c>
      <c r="B368" s="108" t="s">
        <v>624</v>
      </c>
      <c r="C368" s="109" t="s">
        <v>17</v>
      </c>
      <c r="D368" s="110">
        <v>77780</v>
      </c>
      <c r="F368" s="110">
        <v>7481.87</v>
      </c>
      <c r="G368" s="110">
        <v>0</v>
      </c>
      <c r="H368" s="110">
        <v>59854.96</v>
      </c>
      <c r="J368" s="110">
        <v>17925.04</v>
      </c>
      <c r="K368" s="110">
        <v>76.95</v>
      </c>
      <c r="L368" s="111">
        <f t="shared" si="36"/>
        <v>82446.8</v>
      </c>
      <c r="M368" s="110">
        <f t="shared" si="37"/>
        <v>87393.608000000007</v>
      </c>
      <c r="N368" s="110">
        <f t="shared" si="37"/>
        <v>92637.224480000019</v>
      </c>
    </row>
    <row r="369" spans="1:19" x14ac:dyDescent="0.25">
      <c r="A369" s="109" t="s">
        <v>11</v>
      </c>
      <c r="B369" s="108" t="s">
        <v>625</v>
      </c>
      <c r="C369" s="109" t="s">
        <v>19</v>
      </c>
      <c r="D369" s="110">
        <v>315486</v>
      </c>
      <c r="F369" s="110">
        <v>0</v>
      </c>
      <c r="G369" s="110">
        <v>0</v>
      </c>
      <c r="H369" s="110">
        <v>276522.76</v>
      </c>
      <c r="J369" s="110">
        <v>38963.24</v>
      </c>
      <c r="K369" s="110">
        <v>87.64</v>
      </c>
      <c r="L369" s="111">
        <f t="shared" si="36"/>
        <v>334415.16000000003</v>
      </c>
      <c r="M369" s="110">
        <f t="shared" si="37"/>
        <v>354480.06960000005</v>
      </c>
      <c r="N369" s="110">
        <f t="shared" si="37"/>
        <v>375748.87377600005</v>
      </c>
    </row>
    <row r="370" spans="1:19" x14ac:dyDescent="0.25">
      <c r="A370" s="109" t="s">
        <v>11</v>
      </c>
      <c r="B370" s="108" t="s">
        <v>626</v>
      </c>
      <c r="C370" s="109" t="s">
        <v>21</v>
      </c>
      <c r="D370" s="110">
        <v>2834450</v>
      </c>
      <c r="F370" s="110">
        <v>176618.59</v>
      </c>
      <c r="G370" s="110">
        <v>0</v>
      </c>
      <c r="H370" s="110">
        <v>1455693.99</v>
      </c>
      <c r="J370" s="110">
        <v>1378756.01</v>
      </c>
      <c r="K370" s="110">
        <v>51.35</v>
      </c>
      <c r="L370" s="111">
        <f t="shared" si="36"/>
        <v>3004517</v>
      </c>
      <c r="M370" s="110">
        <f t="shared" si="37"/>
        <v>3184788.02</v>
      </c>
      <c r="N370" s="110">
        <f t="shared" si="37"/>
        <v>3375875.3012000001</v>
      </c>
    </row>
    <row r="371" spans="1:19" x14ac:dyDescent="0.25">
      <c r="A371" s="109" t="s">
        <v>11</v>
      </c>
      <c r="B371" s="108" t="s">
        <v>627</v>
      </c>
      <c r="C371" s="109" t="s">
        <v>128</v>
      </c>
      <c r="D371" s="110">
        <v>14909</v>
      </c>
      <c r="F371" s="110">
        <v>0</v>
      </c>
      <c r="G371" s="110">
        <v>0</v>
      </c>
      <c r="H371" s="110">
        <v>-2894.31</v>
      </c>
      <c r="J371" s="110">
        <v>17803.310000000001</v>
      </c>
      <c r="K371" s="110">
        <v>-19.41</v>
      </c>
      <c r="L371" s="111">
        <f t="shared" si="36"/>
        <v>15803.54</v>
      </c>
      <c r="M371" s="110">
        <f t="shared" si="37"/>
        <v>16751.752400000001</v>
      </c>
      <c r="N371" s="110">
        <f t="shared" si="37"/>
        <v>17756.857544000002</v>
      </c>
    </row>
    <row r="372" spans="1:19" x14ac:dyDescent="0.25">
      <c r="A372" s="109" t="s">
        <v>11</v>
      </c>
      <c r="B372" s="108" t="s">
        <v>628</v>
      </c>
      <c r="C372" s="109" t="s">
        <v>23</v>
      </c>
      <c r="D372" s="110">
        <v>61391</v>
      </c>
      <c r="F372" s="110">
        <v>15219.31</v>
      </c>
      <c r="G372" s="110">
        <v>0</v>
      </c>
      <c r="H372" s="110">
        <v>86000.44</v>
      </c>
      <c r="J372" s="110">
        <v>-24609.439999999999</v>
      </c>
      <c r="K372" s="110">
        <v>140.08000000000001</v>
      </c>
      <c r="L372" s="111">
        <f t="shared" si="36"/>
        <v>65074.460000000006</v>
      </c>
      <c r="M372" s="110">
        <f t="shared" si="37"/>
        <v>68978.92760000001</v>
      </c>
      <c r="N372" s="110">
        <f t="shared" si="37"/>
        <v>73117.663256000014</v>
      </c>
    </row>
    <row r="373" spans="1:19" x14ac:dyDescent="0.25">
      <c r="A373" s="109" t="s">
        <v>11</v>
      </c>
      <c r="B373" s="108" t="s">
        <v>629</v>
      </c>
      <c r="C373" s="109" t="s">
        <v>31</v>
      </c>
      <c r="D373" s="110">
        <v>6770</v>
      </c>
      <c r="F373" s="110">
        <v>675.12</v>
      </c>
      <c r="G373" s="110">
        <v>0</v>
      </c>
      <c r="H373" s="110">
        <v>4904.12</v>
      </c>
      <c r="J373" s="110">
        <v>1865.88</v>
      </c>
      <c r="K373" s="110">
        <v>72.430000000000007</v>
      </c>
      <c r="L373" s="111">
        <f t="shared" si="36"/>
        <v>7176.2000000000007</v>
      </c>
      <c r="M373" s="110">
        <f t="shared" si="37"/>
        <v>7606.7720000000008</v>
      </c>
      <c r="N373" s="110">
        <f t="shared" si="37"/>
        <v>8063.1783200000009</v>
      </c>
    </row>
    <row r="374" spans="1:19" x14ac:dyDescent="0.25">
      <c r="A374" s="109" t="s">
        <v>11</v>
      </c>
      <c r="B374" s="108" t="s">
        <v>630</v>
      </c>
      <c r="C374" s="109" t="s">
        <v>34</v>
      </c>
      <c r="D374" s="110">
        <v>178808</v>
      </c>
      <c r="F374" s="110">
        <v>12725.62</v>
      </c>
      <c r="G374" s="110">
        <v>0</v>
      </c>
      <c r="H374" s="110">
        <v>100978.11</v>
      </c>
      <c r="J374" s="110">
        <v>77829.89</v>
      </c>
      <c r="K374" s="110">
        <v>56.47</v>
      </c>
      <c r="L374" s="111">
        <f t="shared" si="36"/>
        <v>189536.48</v>
      </c>
      <c r="M374" s="110">
        <f t="shared" si="37"/>
        <v>200908.66880000001</v>
      </c>
      <c r="N374" s="110">
        <f t="shared" si="37"/>
        <v>212963.18892800002</v>
      </c>
    </row>
    <row r="375" spans="1:19" x14ac:dyDescent="0.25">
      <c r="A375" s="109" t="s">
        <v>11</v>
      </c>
      <c r="B375" s="108" t="s">
        <v>631</v>
      </c>
      <c r="C375" s="109" t="s">
        <v>36</v>
      </c>
      <c r="D375" s="110">
        <v>1262854</v>
      </c>
      <c r="F375" s="110">
        <v>117177</v>
      </c>
      <c r="G375" s="110">
        <v>0</v>
      </c>
      <c r="H375" s="110">
        <v>910869.72</v>
      </c>
      <c r="J375" s="110">
        <v>351984.28</v>
      </c>
      <c r="K375" s="110">
        <v>72.12</v>
      </c>
      <c r="L375" s="111">
        <f t="shared" si="36"/>
        <v>1338625.24</v>
      </c>
      <c r="M375" s="110">
        <f t="shared" si="37"/>
        <v>1418942.7544</v>
      </c>
      <c r="N375" s="110">
        <f t="shared" si="37"/>
        <v>1504079.3196640001</v>
      </c>
    </row>
    <row r="376" spans="1:19" x14ac:dyDescent="0.25">
      <c r="A376" s="109" t="s">
        <v>11</v>
      </c>
      <c r="B376" s="108" t="s">
        <v>632</v>
      </c>
      <c r="C376" s="109" t="s">
        <v>38</v>
      </c>
      <c r="D376" s="110">
        <v>3771638</v>
      </c>
      <c r="F376" s="110">
        <v>314808.78000000003</v>
      </c>
      <c r="G376" s="110">
        <v>0</v>
      </c>
      <c r="H376" s="110">
        <v>2495188.5</v>
      </c>
      <c r="J376" s="110">
        <v>1276449.5</v>
      </c>
      <c r="K376" s="110">
        <v>66.150000000000006</v>
      </c>
      <c r="L376" s="111">
        <f t="shared" si="36"/>
        <v>3997936.2800000003</v>
      </c>
      <c r="M376" s="110">
        <f t="shared" si="37"/>
        <v>4237812.4568000007</v>
      </c>
      <c r="N376" s="110">
        <f t="shared" si="37"/>
        <v>4492081.2042080006</v>
      </c>
    </row>
    <row r="377" spans="1:19" x14ac:dyDescent="0.25">
      <c r="A377" s="109" t="s">
        <v>11</v>
      </c>
      <c r="B377" s="108" t="s">
        <v>633</v>
      </c>
      <c r="C377" s="109" t="s">
        <v>40</v>
      </c>
      <c r="D377" s="110">
        <v>107350</v>
      </c>
      <c r="F377" s="110">
        <v>8445.51</v>
      </c>
      <c r="G377" s="110">
        <v>0</v>
      </c>
      <c r="H377" s="110">
        <v>65375.199999999997</v>
      </c>
      <c r="J377" s="110">
        <v>41974.8</v>
      </c>
      <c r="K377" s="110">
        <v>60.89</v>
      </c>
      <c r="L377" s="111">
        <f t="shared" si="36"/>
        <v>113791</v>
      </c>
      <c r="M377" s="110">
        <f t="shared" si="37"/>
        <v>120618.46</v>
      </c>
      <c r="N377" s="110">
        <f t="shared" si="37"/>
        <v>127855.56760000001</v>
      </c>
    </row>
    <row r="378" spans="1:19" x14ac:dyDescent="0.25">
      <c r="A378" s="109" t="s">
        <v>11</v>
      </c>
      <c r="B378" s="108" t="s">
        <v>634</v>
      </c>
      <c r="C378" s="109" t="s">
        <v>42</v>
      </c>
      <c r="D378" s="110">
        <v>113688</v>
      </c>
      <c r="F378" s="110">
        <v>0</v>
      </c>
      <c r="G378" s="110">
        <v>0</v>
      </c>
      <c r="H378" s="110">
        <v>70656.259999999995</v>
      </c>
      <c r="J378" s="110">
        <v>43031.74</v>
      </c>
      <c r="K378" s="110">
        <v>62.14</v>
      </c>
      <c r="L378" s="111">
        <f t="shared" si="36"/>
        <v>120509.28</v>
      </c>
      <c r="M378" s="110">
        <f t="shared" si="37"/>
        <v>127739.8368</v>
      </c>
      <c r="N378" s="110">
        <f t="shared" si="37"/>
        <v>135404.22700800002</v>
      </c>
    </row>
    <row r="379" spans="1:19" x14ac:dyDescent="0.25">
      <c r="A379" s="109" t="s">
        <v>11</v>
      </c>
      <c r="B379" s="108" t="s">
        <v>635</v>
      </c>
      <c r="C379" s="109" t="s">
        <v>44</v>
      </c>
      <c r="D379" s="110">
        <v>73897</v>
      </c>
      <c r="F379" s="110">
        <v>0</v>
      </c>
      <c r="G379" s="110">
        <v>0</v>
      </c>
      <c r="H379" s="110">
        <v>2229.4899999999998</v>
      </c>
      <c r="J379" s="110">
        <v>71667.509999999995</v>
      </c>
      <c r="K379" s="110">
        <v>3.01</v>
      </c>
      <c r="L379" s="111">
        <f t="shared" si="36"/>
        <v>78330.820000000007</v>
      </c>
      <c r="M379" s="110">
        <f t="shared" si="37"/>
        <v>83030.669200000018</v>
      </c>
      <c r="N379" s="110">
        <f t="shared" si="37"/>
        <v>88012.509352000023</v>
      </c>
    </row>
    <row r="380" spans="1:19" x14ac:dyDescent="0.25">
      <c r="A380" s="109" t="s">
        <v>11</v>
      </c>
      <c r="B380" s="108" t="s">
        <v>636</v>
      </c>
      <c r="C380" s="109" t="s">
        <v>88</v>
      </c>
      <c r="D380" s="110">
        <v>50000</v>
      </c>
      <c r="F380" s="110">
        <v>0</v>
      </c>
      <c r="G380" s="110">
        <v>0</v>
      </c>
      <c r="H380" s="110">
        <v>0</v>
      </c>
      <c r="J380" s="110">
        <v>50000</v>
      </c>
      <c r="K380" s="110">
        <v>0</v>
      </c>
      <c r="L380" s="111">
        <f>D380*1.041</f>
        <v>52049.999999999993</v>
      </c>
      <c r="M380" s="110">
        <f>L380*1.041</f>
        <v>54184.049999999988</v>
      </c>
      <c r="N380" s="110">
        <f>M380*1.045</f>
        <v>56622.332249999985</v>
      </c>
    </row>
    <row r="381" spans="1:19" x14ac:dyDescent="0.25">
      <c r="A381" s="109" t="s">
        <v>11</v>
      </c>
      <c r="B381" s="108" t="s">
        <v>637</v>
      </c>
      <c r="C381" s="109" t="s">
        <v>319</v>
      </c>
      <c r="D381" s="110">
        <v>1635922</v>
      </c>
      <c r="F381" s="110">
        <v>157361.20000000001</v>
      </c>
      <c r="G381" s="110">
        <v>0</v>
      </c>
      <c r="H381" s="110">
        <v>923799.94</v>
      </c>
      <c r="J381" s="110">
        <v>712122.06</v>
      </c>
      <c r="K381" s="110">
        <v>56.46</v>
      </c>
      <c r="L381" s="111">
        <f t="shared" ref="L381:L402" si="38">D381*1.041</f>
        <v>1702994.8019999999</v>
      </c>
      <c r="M381" s="110">
        <f t="shared" ref="M381:M404" si="39">L381*1.041</f>
        <v>1772817.5888819997</v>
      </c>
      <c r="N381" s="110">
        <f t="shared" ref="N381:N404" si="40">M381*1.045</f>
        <v>1852594.3803816896</v>
      </c>
    </row>
    <row r="382" spans="1:19" s="9" customFormat="1" x14ac:dyDescent="0.25">
      <c r="A382" s="109" t="s">
        <v>11</v>
      </c>
      <c r="B382" s="108" t="s">
        <v>638</v>
      </c>
      <c r="C382" s="109" t="s">
        <v>639</v>
      </c>
      <c r="D382" s="110">
        <v>8016894</v>
      </c>
      <c r="E382" s="110"/>
      <c r="F382" s="110">
        <v>18050</v>
      </c>
      <c r="G382" s="110">
        <v>2770987.4</v>
      </c>
      <c r="H382" s="110">
        <v>1424315.56</v>
      </c>
      <c r="I382" s="110"/>
      <c r="J382" s="110">
        <v>6592578.4400000004</v>
      </c>
      <c r="K382" s="110">
        <v>17.760000000000002</v>
      </c>
      <c r="L382" s="111">
        <f>D382*1.041-2000000</f>
        <v>6345586.6539999992</v>
      </c>
      <c r="M382" s="110">
        <f t="shared" si="39"/>
        <v>6605755.7068139985</v>
      </c>
      <c r="N382" s="110">
        <f t="shared" si="40"/>
        <v>6903014.7136206282</v>
      </c>
    </row>
    <row r="383" spans="1:19" s="9" customFormat="1" x14ac:dyDescent="0.25">
      <c r="A383" s="109" t="s">
        <v>11</v>
      </c>
      <c r="B383" s="108" t="s">
        <v>640</v>
      </c>
      <c r="C383" s="109" t="s">
        <v>321</v>
      </c>
      <c r="D383" s="110">
        <v>2368292</v>
      </c>
      <c r="E383" s="110"/>
      <c r="F383" s="110">
        <v>150987.5</v>
      </c>
      <c r="G383" s="110">
        <v>0</v>
      </c>
      <c r="H383" s="110">
        <v>2209979.64</v>
      </c>
      <c r="I383" s="110"/>
      <c r="J383" s="110">
        <v>158312.35999999999</v>
      </c>
      <c r="K383" s="110">
        <v>93.31</v>
      </c>
      <c r="L383" s="111">
        <f>D383*1.041+500000</f>
        <v>2965391.9719999996</v>
      </c>
      <c r="M383" s="110">
        <f t="shared" si="39"/>
        <v>3086973.0428519994</v>
      </c>
      <c r="N383" s="110">
        <f t="shared" si="40"/>
        <v>3225886.8297803393</v>
      </c>
      <c r="O383" s="180" t="s">
        <v>714</v>
      </c>
      <c r="P383" s="180"/>
      <c r="Q383" s="180"/>
      <c r="R383" s="180"/>
      <c r="S383" s="180"/>
    </row>
    <row r="384" spans="1:19" s="9" customFormat="1" x14ac:dyDescent="0.25">
      <c r="A384" s="109" t="s">
        <v>11</v>
      </c>
      <c r="B384" s="108" t="s">
        <v>641</v>
      </c>
      <c r="C384" s="109" t="s">
        <v>642</v>
      </c>
      <c r="D384" s="110">
        <v>549137</v>
      </c>
      <c r="E384" s="110"/>
      <c r="F384" s="110">
        <v>0</v>
      </c>
      <c r="G384" s="110">
        <v>0</v>
      </c>
      <c r="H384" s="110">
        <v>203987</v>
      </c>
      <c r="I384" s="110"/>
      <c r="J384" s="110">
        <v>345150</v>
      </c>
      <c r="K384" s="110">
        <v>37.14</v>
      </c>
      <c r="L384" s="111">
        <f t="shared" si="38"/>
        <v>571651.61699999997</v>
      </c>
      <c r="M384" s="110">
        <f t="shared" si="39"/>
        <v>595089.33329699992</v>
      </c>
      <c r="N384" s="110">
        <f t="shared" si="40"/>
        <v>621868.35329536488</v>
      </c>
    </row>
    <row r="385" spans="1:15" x14ac:dyDescent="0.25">
      <c r="A385" s="109" t="s">
        <v>11</v>
      </c>
      <c r="B385" s="108" t="s">
        <v>643</v>
      </c>
      <c r="C385" s="109" t="s">
        <v>644</v>
      </c>
      <c r="D385" s="110">
        <v>424868</v>
      </c>
      <c r="F385" s="110">
        <v>41250</v>
      </c>
      <c r="G385" s="110">
        <v>94486.3</v>
      </c>
      <c r="H385" s="110">
        <v>138785.99</v>
      </c>
      <c r="J385" s="110">
        <v>286082.01</v>
      </c>
      <c r="K385" s="110">
        <v>32.659999999999997</v>
      </c>
      <c r="L385" s="111">
        <v>800000</v>
      </c>
      <c r="M385" s="110">
        <f t="shared" si="39"/>
        <v>832799.99999999988</v>
      </c>
      <c r="N385" s="110">
        <f t="shared" si="40"/>
        <v>870275.99999999977</v>
      </c>
    </row>
    <row r="386" spans="1:15" x14ac:dyDescent="0.25">
      <c r="A386" s="109" t="s">
        <v>11</v>
      </c>
      <c r="B386" s="108" t="s">
        <v>645</v>
      </c>
      <c r="C386" s="109" t="s">
        <v>602</v>
      </c>
      <c r="D386" s="110">
        <v>1520163</v>
      </c>
      <c r="F386" s="110">
        <v>51422.3</v>
      </c>
      <c r="G386" s="110">
        <v>97170.34</v>
      </c>
      <c r="H386" s="110">
        <v>416976.84</v>
      </c>
      <c r="J386" s="110">
        <v>1103186.1599999999</v>
      </c>
      <c r="K386" s="110">
        <v>27.42</v>
      </c>
      <c r="L386" s="111">
        <f>2500000-500000</f>
        <v>2000000</v>
      </c>
      <c r="M386" s="110">
        <f t="shared" si="39"/>
        <v>2081999.9999999998</v>
      </c>
      <c r="N386" s="110">
        <f t="shared" si="40"/>
        <v>2175689.9999999995</v>
      </c>
      <c r="O386" t="s">
        <v>702</v>
      </c>
    </row>
    <row r="387" spans="1:15" x14ac:dyDescent="0.25">
      <c r="A387" s="109" t="s">
        <v>11</v>
      </c>
      <c r="B387" s="108" t="s">
        <v>646</v>
      </c>
      <c r="C387" s="109" t="s">
        <v>647</v>
      </c>
      <c r="D387" s="110">
        <v>664396</v>
      </c>
      <c r="F387" s="110">
        <v>0</v>
      </c>
      <c r="G387" s="110">
        <v>0</v>
      </c>
      <c r="H387" s="110">
        <v>0</v>
      </c>
      <c r="J387" s="110">
        <v>664396</v>
      </c>
      <c r="K387" s="110">
        <v>0</v>
      </c>
      <c r="L387" s="111">
        <f t="shared" si="38"/>
        <v>691636.23599999992</v>
      </c>
      <c r="M387" s="110">
        <f t="shared" si="39"/>
        <v>719993.3216759999</v>
      </c>
      <c r="N387" s="110">
        <f t="shared" si="40"/>
        <v>752393.02115141985</v>
      </c>
    </row>
    <row r="388" spans="1:15" x14ac:dyDescent="0.25">
      <c r="A388" s="109" t="s">
        <v>11</v>
      </c>
      <c r="B388" s="108" t="s">
        <v>648</v>
      </c>
      <c r="C388" s="109" t="s">
        <v>561</v>
      </c>
      <c r="D388" s="110">
        <v>474569</v>
      </c>
      <c r="F388" s="110">
        <v>0</v>
      </c>
      <c r="G388" s="110">
        <v>0</v>
      </c>
      <c r="H388" s="110">
        <v>110213</v>
      </c>
      <c r="J388" s="110">
        <v>364356</v>
      </c>
      <c r="K388" s="110">
        <v>23.22</v>
      </c>
      <c r="L388" s="111">
        <f t="shared" si="38"/>
        <v>494026.32899999997</v>
      </c>
      <c r="M388" s="110">
        <f t="shared" si="39"/>
        <v>514281.40848899994</v>
      </c>
      <c r="N388" s="110">
        <f t="shared" si="40"/>
        <v>537424.07187100488</v>
      </c>
    </row>
    <row r="389" spans="1:15" x14ac:dyDescent="0.25">
      <c r="A389" s="109" t="s">
        <v>11</v>
      </c>
      <c r="B389" s="108" t="s">
        <v>649</v>
      </c>
      <c r="C389" s="109" t="s">
        <v>650</v>
      </c>
      <c r="D389" s="110">
        <v>94914</v>
      </c>
      <c r="F389" s="110">
        <v>5191.5</v>
      </c>
      <c r="G389" s="110">
        <v>0</v>
      </c>
      <c r="H389" s="110">
        <v>74983.16</v>
      </c>
      <c r="J389" s="110">
        <v>19930.84</v>
      </c>
      <c r="K389" s="110">
        <v>79</v>
      </c>
      <c r="L389" s="111">
        <f t="shared" si="38"/>
        <v>98805.473999999987</v>
      </c>
      <c r="M389" s="110">
        <f t="shared" si="39"/>
        <v>102856.49843399998</v>
      </c>
      <c r="N389" s="110">
        <f t="shared" si="40"/>
        <v>107485.04086352997</v>
      </c>
    </row>
    <row r="390" spans="1:15" x14ac:dyDescent="0.25">
      <c r="A390" s="109" t="s">
        <v>11</v>
      </c>
      <c r="B390" s="108" t="s">
        <v>651</v>
      </c>
      <c r="C390" s="109" t="s">
        <v>652</v>
      </c>
      <c r="D390" s="110">
        <v>569482</v>
      </c>
      <c r="F390" s="110">
        <v>0</v>
      </c>
      <c r="G390" s="110">
        <v>0</v>
      </c>
      <c r="H390" s="110">
        <v>16910</v>
      </c>
      <c r="J390" s="110">
        <v>552572</v>
      </c>
      <c r="K390" s="110">
        <v>2.96</v>
      </c>
      <c r="L390" s="111">
        <f t="shared" si="38"/>
        <v>592830.76199999999</v>
      </c>
      <c r="M390" s="110">
        <f t="shared" si="39"/>
        <v>617136.82324199995</v>
      </c>
      <c r="N390" s="110">
        <f t="shared" si="40"/>
        <v>644907.98028788995</v>
      </c>
    </row>
    <row r="391" spans="1:15" x14ac:dyDescent="0.25">
      <c r="A391" s="109" t="s">
        <v>11</v>
      </c>
      <c r="B391" s="108" t="s">
        <v>653</v>
      </c>
      <c r="C391" s="109" t="s">
        <v>654</v>
      </c>
      <c r="D391" s="110">
        <v>2678274</v>
      </c>
      <c r="F391" s="110">
        <v>134521.59</v>
      </c>
      <c r="G391" s="110">
        <v>0</v>
      </c>
      <c r="H391" s="110">
        <v>1890075.64</v>
      </c>
      <c r="J391" s="110">
        <v>788198.36</v>
      </c>
      <c r="K391" s="110">
        <v>70.569999999999993</v>
      </c>
      <c r="L391" s="111">
        <f t="shared" si="38"/>
        <v>2788083.2339999997</v>
      </c>
      <c r="M391" s="110">
        <f t="shared" si="39"/>
        <v>2902394.6465939996</v>
      </c>
      <c r="N391" s="110">
        <f t="shared" si="40"/>
        <v>3033002.4056907292</v>
      </c>
    </row>
    <row r="392" spans="1:15" x14ac:dyDescent="0.25">
      <c r="A392" s="109" t="s">
        <v>11</v>
      </c>
      <c r="B392" s="108" t="s">
        <v>655</v>
      </c>
      <c r="C392" s="109" t="s">
        <v>656</v>
      </c>
      <c r="D392" s="110">
        <v>3859284</v>
      </c>
      <c r="F392" s="110">
        <v>66325.73</v>
      </c>
      <c r="G392" s="110">
        <v>95989.02</v>
      </c>
      <c r="H392" s="110">
        <v>2022817.17</v>
      </c>
      <c r="J392" s="110">
        <v>1836466.83</v>
      </c>
      <c r="K392" s="110">
        <v>52.41</v>
      </c>
      <c r="L392" s="111">
        <f t="shared" si="38"/>
        <v>4017514.6439999999</v>
      </c>
      <c r="M392" s="110">
        <f t="shared" si="39"/>
        <v>4182232.7444039998</v>
      </c>
      <c r="N392" s="110">
        <f t="shared" si="40"/>
        <v>4370433.2179021798</v>
      </c>
    </row>
    <row r="393" spans="1:15" x14ac:dyDescent="0.25">
      <c r="A393" s="109" t="s">
        <v>11</v>
      </c>
      <c r="B393" s="108" t="s">
        <v>657</v>
      </c>
      <c r="C393" s="109" t="s">
        <v>658</v>
      </c>
      <c r="D393" s="110">
        <v>246776</v>
      </c>
      <c r="F393" s="110">
        <v>0</v>
      </c>
      <c r="G393" s="110">
        <v>7599.37</v>
      </c>
      <c r="H393" s="110">
        <v>209392.28</v>
      </c>
      <c r="J393" s="110">
        <v>37383.72</v>
      </c>
      <c r="K393" s="110">
        <v>84.85</v>
      </c>
      <c r="L393" s="111">
        <v>500000</v>
      </c>
      <c r="M393" s="110">
        <f t="shared" si="39"/>
        <v>520499.99999999994</v>
      </c>
      <c r="N393" s="110">
        <f t="shared" si="40"/>
        <v>543922.49999999988</v>
      </c>
      <c r="O393" t="s">
        <v>702</v>
      </c>
    </row>
    <row r="394" spans="1:15" x14ac:dyDescent="0.25">
      <c r="A394" s="109" t="s">
        <v>11</v>
      </c>
      <c r="B394" s="108" t="s">
        <v>659</v>
      </c>
      <c r="C394" s="109" t="s">
        <v>107</v>
      </c>
      <c r="D394" s="110">
        <v>275250</v>
      </c>
      <c r="F394" s="110">
        <v>20486.560000000001</v>
      </c>
      <c r="G394" s="110">
        <v>0</v>
      </c>
      <c r="H394" s="110">
        <v>125248.67</v>
      </c>
      <c r="J394" s="110">
        <v>150001.32999999999</v>
      </c>
      <c r="K394" s="110">
        <v>45.5</v>
      </c>
      <c r="L394" s="111">
        <f t="shared" si="38"/>
        <v>286535.25</v>
      </c>
      <c r="M394" s="110">
        <f t="shared" si="39"/>
        <v>298283.19524999999</v>
      </c>
      <c r="N394" s="110">
        <f t="shared" si="40"/>
        <v>311705.93903624994</v>
      </c>
    </row>
    <row r="395" spans="1:15" x14ac:dyDescent="0.25">
      <c r="A395" s="109" t="s">
        <v>11</v>
      </c>
      <c r="B395" s="108" t="s">
        <v>660</v>
      </c>
      <c r="C395" s="109" t="s">
        <v>661</v>
      </c>
      <c r="D395" s="110">
        <v>379655</v>
      </c>
      <c r="F395" s="110">
        <v>0</v>
      </c>
      <c r="G395" s="110">
        <v>0</v>
      </c>
      <c r="H395" s="110">
        <v>345630.67</v>
      </c>
      <c r="J395" s="110">
        <v>34024.33</v>
      </c>
      <c r="K395" s="110">
        <v>91.03</v>
      </c>
      <c r="L395" s="111">
        <v>400000</v>
      </c>
      <c r="M395" s="110">
        <f t="shared" si="39"/>
        <v>416399.99999999994</v>
      </c>
      <c r="N395" s="110">
        <f t="shared" si="40"/>
        <v>435137.99999999988</v>
      </c>
      <c r="O395" t="s">
        <v>703</v>
      </c>
    </row>
    <row r="396" spans="1:15" x14ac:dyDescent="0.25">
      <c r="A396" s="109" t="s">
        <v>11</v>
      </c>
      <c r="B396" s="108" t="s">
        <v>662</v>
      </c>
      <c r="C396" s="109" t="s">
        <v>111</v>
      </c>
      <c r="D396" s="110">
        <v>66440</v>
      </c>
      <c r="F396" s="110">
        <v>1882.1</v>
      </c>
      <c r="G396" s="110">
        <v>0</v>
      </c>
      <c r="H396" s="110">
        <v>14993.87</v>
      </c>
      <c r="J396" s="110">
        <v>51446.13</v>
      </c>
      <c r="K396" s="110">
        <v>22.56</v>
      </c>
      <c r="L396" s="111">
        <f t="shared" si="38"/>
        <v>69164.039999999994</v>
      </c>
      <c r="M396" s="110">
        <f t="shared" si="39"/>
        <v>71999.765639999983</v>
      </c>
      <c r="N396" s="110">
        <f t="shared" si="40"/>
        <v>75239.755093799977</v>
      </c>
    </row>
    <row r="397" spans="1:15" x14ac:dyDescent="0.25">
      <c r="A397" s="109" t="s">
        <v>11</v>
      </c>
      <c r="B397" s="108" t="s">
        <v>663</v>
      </c>
      <c r="C397" s="109" t="s">
        <v>664</v>
      </c>
      <c r="D397" s="110">
        <v>189827</v>
      </c>
      <c r="F397" s="110">
        <v>4010</v>
      </c>
      <c r="G397" s="110">
        <v>1738.43</v>
      </c>
      <c r="H397" s="110">
        <v>74708.72</v>
      </c>
      <c r="J397" s="110">
        <v>115118.28</v>
      </c>
      <c r="K397" s="110">
        <v>39.35</v>
      </c>
      <c r="L397" s="111">
        <f t="shared" si="38"/>
        <v>197609.90699999998</v>
      </c>
      <c r="M397" s="110">
        <f t="shared" si="39"/>
        <v>205711.91318699997</v>
      </c>
      <c r="N397" s="110">
        <f t="shared" si="40"/>
        <v>214968.94928041496</v>
      </c>
    </row>
    <row r="398" spans="1:15" x14ac:dyDescent="0.25">
      <c r="A398" s="109" t="s">
        <v>11</v>
      </c>
      <c r="B398" s="108" t="s">
        <v>665</v>
      </c>
      <c r="C398" s="109" t="s">
        <v>666</v>
      </c>
      <c r="D398" s="110">
        <v>31220662</v>
      </c>
      <c r="F398" s="110">
        <v>1716909.44</v>
      </c>
      <c r="G398" s="110">
        <v>0</v>
      </c>
      <c r="H398" s="110">
        <v>19830745.629999999</v>
      </c>
      <c r="J398" s="110">
        <v>11389916.369999999</v>
      </c>
      <c r="K398" s="110">
        <v>63.51</v>
      </c>
      <c r="L398" s="111">
        <f>D398*1.041</f>
        <v>32500709.141999997</v>
      </c>
      <c r="M398" s="110">
        <f t="shared" si="39"/>
        <v>33833238.216821998</v>
      </c>
      <c r="N398" s="110">
        <f>M398*1.045-6000000</f>
        <v>29355733.936578989</v>
      </c>
    </row>
    <row r="399" spans="1:15" x14ac:dyDescent="0.25">
      <c r="A399" s="109" t="s">
        <v>11</v>
      </c>
      <c r="B399" s="108" t="s">
        <v>667</v>
      </c>
      <c r="C399" s="109" t="s">
        <v>423</v>
      </c>
      <c r="D399" s="110">
        <v>12491371</v>
      </c>
      <c r="F399" s="110">
        <v>0</v>
      </c>
      <c r="G399" s="110">
        <v>0</v>
      </c>
      <c r="H399" s="110">
        <v>8643166.9100000001</v>
      </c>
      <c r="J399" s="110">
        <v>3848204.09</v>
      </c>
      <c r="K399" s="110">
        <v>69.19</v>
      </c>
      <c r="L399" s="111">
        <v>17500000</v>
      </c>
      <c r="M399" s="110">
        <f t="shared" si="39"/>
        <v>18217500</v>
      </c>
      <c r="N399" s="110">
        <f t="shared" si="40"/>
        <v>19037287.5</v>
      </c>
      <c r="O399" t="s">
        <v>702</v>
      </c>
    </row>
    <row r="400" spans="1:15" x14ac:dyDescent="0.25">
      <c r="A400" s="109" t="s">
        <v>11</v>
      </c>
      <c r="B400" s="108" t="s">
        <v>668</v>
      </c>
      <c r="C400" s="109" t="s">
        <v>334</v>
      </c>
      <c r="D400" s="110">
        <v>474569</v>
      </c>
      <c r="F400" s="110">
        <v>34079</v>
      </c>
      <c r="G400" s="110">
        <v>0</v>
      </c>
      <c r="H400" s="110">
        <v>212261.65</v>
      </c>
      <c r="J400" s="110">
        <v>262307.34999999998</v>
      </c>
      <c r="K400" s="110">
        <v>44.72</v>
      </c>
      <c r="L400" s="111">
        <f t="shared" si="38"/>
        <v>494026.32899999997</v>
      </c>
      <c r="M400" s="110">
        <f t="shared" si="39"/>
        <v>514281.40848899994</v>
      </c>
      <c r="N400" s="110">
        <f t="shared" si="40"/>
        <v>537424.07187100488</v>
      </c>
    </row>
    <row r="401" spans="1:15" x14ac:dyDescent="0.25">
      <c r="A401" s="109" t="s">
        <v>11</v>
      </c>
      <c r="B401" s="108" t="s">
        <v>669</v>
      </c>
      <c r="C401" s="109" t="s">
        <v>334</v>
      </c>
      <c r="D401" s="110">
        <v>400000</v>
      </c>
      <c r="F401" s="110">
        <v>0</v>
      </c>
      <c r="G401" s="110">
        <v>0</v>
      </c>
      <c r="H401" s="110">
        <v>0</v>
      </c>
      <c r="J401" s="110">
        <v>400000</v>
      </c>
      <c r="K401" s="110">
        <v>0</v>
      </c>
      <c r="L401" s="111">
        <f t="shared" si="38"/>
        <v>416399.99999999994</v>
      </c>
      <c r="M401" s="110">
        <f t="shared" si="39"/>
        <v>433472.39999999991</v>
      </c>
      <c r="N401" s="110">
        <f t="shared" si="40"/>
        <v>452978.65799999988</v>
      </c>
      <c r="O401" s="7" t="s">
        <v>919</v>
      </c>
    </row>
    <row r="402" spans="1:15" x14ac:dyDescent="0.25">
      <c r="A402" s="109" t="s">
        <v>11</v>
      </c>
      <c r="B402" s="108" t="s">
        <v>670</v>
      </c>
      <c r="C402" s="109" t="s">
        <v>427</v>
      </c>
      <c r="D402" s="110">
        <v>100000</v>
      </c>
      <c r="F402" s="110">
        <v>0</v>
      </c>
      <c r="G402" s="110">
        <v>0</v>
      </c>
      <c r="H402" s="110">
        <v>0</v>
      </c>
      <c r="J402" s="110">
        <v>100000</v>
      </c>
      <c r="K402" s="110">
        <v>0</v>
      </c>
      <c r="L402" s="111">
        <f t="shared" si="38"/>
        <v>104099.99999999999</v>
      </c>
      <c r="M402" s="110">
        <f t="shared" si="39"/>
        <v>108368.09999999998</v>
      </c>
      <c r="N402" s="110">
        <f t="shared" si="40"/>
        <v>113244.66449999997</v>
      </c>
    </row>
    <row r="403" spans="1:15" x14ac:dyDescent="0.25">
      <c r="A403" s="109" t="s">
        <v>11</v>
      </c>
      <c r="B403" s="108" t="s">
        <v>671</v>
      </c>
      <c r="C403" s="109" t="s">
        <v>169</v>
      </c>
      <c r="D403" s="110">
        <v>1133878</v>
      </c>
      <c r="F403" s="110">
        <v>104357.84</v>
      </c>
      <c r="G403" s="110">
        <v>0</v>
      </c>
      <c r="H403" s="110">
        <v>1167217.74</v>
      </c>
      <c r="J403" s="110">
        <v>-33339.74</v>
      </c>
      <c r="K403" s="110">
        <v>102.94</v>
      </c>
      <c r="L403" s="111">
        <v>3640000</v>
      </c>
      <c r="M403" s="110">
        <f t="shared" si="39"/>
        <v>3789239.9999999995</v>
      </c>
      <c r="N403" s="110">
        <f t="shared" si="40"/>
        <v>3959755.7999999993</v>
      </c>
      <c r="O403" t="s">
        <v>704</v>
      </c>
    </row>
    <row r="404" spans="1:15" x14ac:dyDescent="0.25">
      <c r="A404" s="109" t="s">
        <v>11</v>
      </c>
      <c r="B404" s="108" t="s">
        <v>672</v>
      </c>
      <c r="C404" s="109" t="s">
        <v>673</v>
      </c>
      <c r="D404" s="110">
        <v>7588011</v>
      </c>
      <c r="F404" s="110">
        <v>1105700.24</v>
      </c>
      <c r="G404" s="110">
        <v>-2486.96</v>
      </c>
      <c r="H404" s="110">
        <v>5965489.2000000002</v>
      </c>
      <c r="J404" s="110">
        <v>1622521.8</v>
      </c>
      <c r="K404" s="110">
        <v>78.61</v>
      </c>
      <c r="L404" s="111">
        <f>D404*1.1</f>
        <v>8346812.1000000006</v>
      </c>
      <c r="M404" s="110">
        <f t="shared" si="39"/>
        <v>8689031.3960999995</v>
      </c>
      <c r="N404" s="110">
        <f t="shared" si="40"/>
        <v>9080037.808924498</v>
      </c>
      <c r="O404" t="s">
        <v>705</v>
      </c>
    </row>
    <row r="405" spans="1:15" s="4" customFormat="1" x14ac:dyDescent="0.25">
      <c r="A405" s="112"/>
      <c r="B405" s="112"/>
      <c r="C405" s="112" t="s">
        <v>686</v>
      </c>
      <c r="D405" s="114">
        <f t="shared" ref="D405:L405" si="41">SUM(D360:D404)</f>
        <v>112987126</v>
      </c>
      <c r="E405" s="114">
        <f t="shared" si="41"/>
        <v>0</v>
      </c>
      <c r="F405" s="114">
        <f t="shared" si="41"/>
        <v>6194411.46</v>
      </c>
      <c r="G405" s="114">
        <f t="shared" si="41"/>
        <v>3065483.9</v>
      </c>
      <c r="H405" s="114">
        <f t="shared" si="41"/>
        <v>68065841.830000013</v>
      </c>
      <c r="I405" s="114">
        <f t="shared" si="41"/>
        <v>0</v>
      </c>
      <c r="J405" s="114">
        <f t="shared" si="41"/>
        <v>44921284.170000002</v>
      </c>
      <c r="K405" s="114">
        <f t="shared" si="41"/>
        <v>2095.29</v>
      </c>
      <c r="L405" s="114">
        <f t="shared" si="41"/>
        <v>125221290.01199999</v>
      </c>
      <c r="M405" s="114">
        <f>SUM(M360:M404)</f>
        <v>131070624.77137199</v>
      </c>
      <c r="N405" s="114">
        <f>SUM(N360:N404)</f>
        <v>131567364.13425171</v>
      </c>
    </row>
    <row r="407" spans="1:15" x14ac:dyDescent="0.25">
      <c r="C407" s="112" t="s">
        <v>915</v>
      </c>
      <c r="D407" s="114" t="e">
        <f>D69+D121+D154+D209+D273+#REF!+D354+D358+D405</f>
        <v>#REF!</v>
      </c>
      <c r="E407" s="114" t="e">
        <f>E69+E121+E154+E209+E273+#REF!+E354+E358+E405</f>
        <v>#REF!</v>
      </c>
      <c r="F407" s="114" t="e">
        <f>F69+F121+F154+F209+F273+#REF!+F354+F358+F405</f>
        <v>#REF!</v>
      </c>
      <c r="G407" s="114" t="e">
        <f>G69+G121+G154+G209+G273+#REF!+G354+G358+G405</f>
        <v>#REF!</v>
      </c>
      <c r="H407" s="114" t="e">
        <f>H69+H121+H154+H209+H273+#REF!+H354+H358+H405</f>
        <v>#REF!</v>
      </c>
      <c r="I407" s="114" t="e">
        <f>I69+I121+I154+I209+I273+#REF!+I354+I358+I405</f>
        <v>#REF!</v>
      </c>
      <c r="J407" s="114" t="e">
        <f>J69+J121+J154+J209+J273+#REF!+J354+J358+J405</f>
        <v>#REF!</v>
      </c>
      <c r="K407" s="114" t="e">
        <f>K69+K121+K154+K209+K273+#REF!+K354+K358+K405</f>
        <v>#REF!</v>
      </c>
      <c r="L407" s="114" t="e">
        <f>L69+L121+L154+L209+L273+#REF!+L354+L358+L405</f>
        <v>#REF!</v>
      </c>
      <c r="M407" s="114" t="e">
        <f>M69+M121+M154+M209+M273+#REF!+M354+M358+M405</f>
        <v>#REF!</v>
      </c>
      <c r="N407" s="114" t="e">
        <f>N69+N121+N154+N209+N273+#REF!+N354+N358+N405</f>
        <v>#REF!</v>
      </c>
    </row>
    <row r="408" spans="1:15" x14ac:dyDescent="0.25">
      <c r="C408" s="112" t="s">
        <v>913</v>
      </c>
      <c r="D408" s="114">
        <f t="shared" ref="D408:N408" si="42">D218+D219+D220+D221+D222</f>
        <v>92248201</v>
      </c>
      <c r="E408" s="114">
        <f t="shared" si="42"/>
        <v>0</v>
      </c>
      <c r="F408" s="114">
        <f t="shared" si="42"/>
        <v>992722.53</v>
      </c>
      <c r="G408" s="114">
        <f t="shared" si="42"/>
        <v>27285428.309999995</v>
      </c>
      <c r="H408" s="114">
        <f t="shared" si="42"/>
        <v>62871552.690000005</v>
      </c>
      <c r="I408" s="114">
        <f t="shared" si="42"/>
        <v>0</v>
      </c>
      <c r="J408" s="114">
        <f t="shared" si="42"/>
        <v>29376648.309999995</v>
      </c>
      <c r="K408" s="114">
        <f t="shared" si="42"/>
        <v>324.89</v>
      </c>
      <c r="L408" s="114">
        <f t="shared" si="42"/>
        <v>70000000</v>
      </c>
      <c r="M408" s="114">
        <f t="shared" si="42"/>
        <v>50000000</v>
      </c>
      <c r="N408" s="114">
        <f t="shared" si="42"/>
        <v>50000000</v>
      </c>
    </row>
    <row r="409" spans="1:15" x14ac:dyDescent="0.25">
      <c r="C409" s="112" t="s">
        <v>914</v>
      </c>
      <c r="D409" s="114" t="e">
        <f>D407-D408</f>
        <v>#REF!</v>
      </c>
      <c r="E409" s="114" t="e">
        <f t="shared" ref="E409:N409" si="43">E407-E408</f>
        <v>#REF!</v>
      </c>
      <c r="F409" s="114" t="e">
        <f t="shared" si="43"/>
        <v>#REF!</v>
      </c>
      <c r="G409" s="114" t="e">
        <f t="shared" si="43"/>
        <v>#REF!</v>
      </c>
      <c r="H409" s="114" t="e">
        <f t="shared" si="43"/>
        <v>#REF!</v>
      </c>
      <c r="I409" s="114" t="e">
        <f t="shared" si="43"/>
        <v>#REF!</v>
      </c>
      <c r="J409" s="114" t="e">
        <f t="shared" si="43"/>
        <v>#REF!</v>
      </c>
      <c r="K409" s="114" t="e">
        <f t="shared" si="43"/>
        <v>#REF!</v>
      </c>
      <c r="L409" s="114" t="e">
        <f t="shared" si="43"/>
        <v>#REF!</v>
      </c>
      <c r="M409" s="114" t="e">
        <f t="shared" si="43"/>
        <v>#REF!</v>
      </c>
      <c r="N409" s="114" t="e">
        <f t="shared" si="43"/>
        <v>#REF!</v>
      </c>
    </row>
  </sheetData>
  <autoFilter ref="A1:K359" xr:uid="{00000000-0009-0000-0000-000002000000}"/>
  <mergeCells count="1">
    <mergeCell ref="O383:S383"/>
  </mergeCells>
  <pageMargins left="0.7" right="0.7" top="0.75" bottom="0.75" header="0.3" footer="0.3"/>
  <pageSetup paperSize="9" scale="33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V103"/>
  <sheetViews>
    <sheetView workbookViewId="0">
      <pane ySplit="4" topLeftCell="A5" activePane="bottomLeft" state="frozen"/>
      <selection pane="bottomLeft" activeCell="L33" sqref="L33"/>
    </sheetView>
  </sheetViews>
  <sheetFormatPr defaultRowHeight="15" x14ac:dyDescent="0.25"/>
  <cols>
    <col min="1" max="1" width="4.140625" bestFit="1" customWidth="1"/>
    <col min="2" max="2" width="25.5703125" bestFit="1" customWidth="1"/>
    <col min="3" max="3" width="47.85546875" bestFit="1" customWidth="1"/>
    <col min="4" max="4" width="15" style="2" bestFit="1" customWidth="1"/>
    <col min="5" max="5" width="9.28515625" style="2" hidden="1" customWidth="1"/>
    <col min="6" max="7" width="14" style="2" hidden="1" customWidth="1"/>
    <col min="8" max="8" width="15" style="2" hidden="1" customWidth="1"/>
    <col min="9" max="9" width="9.28515625" style="2" hidden="1" customWidth="1"/>
    <col min="10" max="10" width="15" style="2" hidden="1" customWidth="1"/>
    <col min="11" max="11" width="9.28515625" style="2" hidden="1" customWidth="1"/>
    <col min="12" max="12" width="19.85546875" style="2" bestFit="1" customWidth="1"/>
    <col min="13" max="14" width="15" style="2" bestFit="1" customWidth="1"/>
    <col min="15" max="15" width="49.28515625" customWidth="1"/>
    <col min="16" max="16" width="46.7109375" bestFit="1" customWidth="1"/>
    <col min="17" max="17" width="15" style="2" bestFit="1" customWidth="1"/>
  </cols>
  <sheetData>
    <row r="2" spans="1:22" ht="15.75" x14ac:dyDescent="0.25">
      <c r="C2" s="181" t="s">
        <v>927</v>
      </c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4" spans="1:22" s="4" customFormat="1" x14ac:dyDescent="0.25">
      <c r="A4" s="120" t="s">
        <v>0</v>
      </c>
      <c r="B4" s="121" t="s">
        <v>1</v>
      </c>
      <c r="C4" s="120" t="s">
        <v>2</v>
      </c>
      <c r="D4" s="122" t="s">
        <v>3</v>
      </c>
      <c r="E4" s="122" t="s">
        <v>4</v>
      </c>
      <c r="F4" s="122" t="s">
        <v>5</v>
      </c>
      <c r="G4" s="122" t="s">
        <v>6</v>
      </c>
      <c r="H4" s="122" t="s">
        <v>7</v>
      </c>
      <c r="I4" s="122" t="s">
        <v>8</v>
      </c>
      <c r="J4" s="122" t="s">
        <v>9</v>
      </c>
      <c r="K4" s="122" t="s">
        <v>10</v>
      </c>
      <c r="L4" s="122" t="s">
        <v>692</v>
      </c>
      <c r="M4" s="122" t="s">
        <v>693</v>
      </c>
      <c r="N4" s="122" t="s">
        <v>694</v>
      </c>
      <c r="O4" s="131" t="s">
        <v>926</v>
      </c>
      <c r="P4" s="99"/>
      <c r="Q4" s="129"/>
      <c r="R4" s="99"/>
      <c r="S4" s="99"/>
      <c r="T4" s="99"/>
      <c r="U4" s="99"/>
      <c r="V4" s="99"/>
    </row>
    <row r="5" spans="1:22" ht="30" x14ac:dyDescent="0.25">
      <c r="A5" s="50" t="s">
        <v>11</v>
      </c>
      <c r="B5" s="100" t="s">
        <v>435</v>
      </c>
      <c r="C5" s="50" t="s">
        <v>436</v>
      </c>
      <c r="D5" s="98">
        <v>3800000</v>
      </c>
      <c r="E5" s="98"/>
      <c r="F5" s="98">
        <v>0</v>
      </c>
      <c r="G5" s="98">
        <v>0</v>
      </c>
      <c r="H5" s="98">
        <v>0</v>
      </c>
      <c r="I5" s="98"/>
      <c r="J5" s="98">
        <v>3800000</v>
      </c>
      <c r="K5" s="98">
        <v>0</v>
      </c>
      <c r="L5" s="104">
        <v>3900000</v>
      </c>
      <c r="M5" s="105"/>
      <c r="N5" s="103"/>
      <c r="O5" s="53" t="s">
        <v>819</v>
      </c>
      <c r="P5" s="126"/>
      <c r="Q5" s="128"/>
      <c r="R5" s="126"/>
      <c r="S5" s="126"/>
      <c r="T5" s="126"/>
      <c r="U5" s="126"/>
      <c r="V5" s="126"/>
    </row>
    <row r="6" spans="1:22" x14ac:dyDescent="0.25">
      <c r="A6" s="50" t="s">
        <v>11</v>
      </c>
      <c r="B6" s="100" t="s">
        <v>437</v>
      </c>
      <c r="C6" s="50" t="s">
        <v>438</v>
      </c>
      <c r="D6" s="98">
        <v>0</v>
      </c>
      <c r="E6" s="98"/>
      <c r="F6" s="98">
        <v>0</v>
      </c>
      <c r="G6" s="98">
        <v>0</v>
      </c>
      <c r="H6" s="98">
        <v>0</v>
      </c>
      <c r="I6" s="98"/>
      <c r="J6" s="98">
        <v>0</v>
      </c>
      <c r="K6" s="98">
        <v>0</v>
      </c>
      <c r="L6" s="103"/>
      <c r="M6" s="103"/>
      <c r="N6" s="103"/>
      <c r="O6" s="53"/>
      <c r="P6" s="126"/>
      <c r="Q6" s="128"/>
      <c r="R6" s="126"/>
      <c r="S6" s="126"/>
      <c r="T6" s="126"/>
      <c r="U6" s="126"/>
      <c r="V6" s="126"/>
    </row>
    <row r="7" spans="1:22" x14ac:dyDescent="0.25">
      <c r="A7" s="50" t="s">
        <v>11</v>
      </c>
      <c r="B7" s="100" t="s">
        <v>439</v>
      </c>
      <c r="C7" s="50" t="s">
        <v>440</v>
      </c>
      <c r="D7" s="98">
        <v>5000000</v>
      </c>
      <c r="E7" s="98"/>
      <c r="F7" s="98">
        <v>0</v>
      </c>
      <c r="G7" s="98">
        <v>0</v>
      </c>
      <c r="H7" s="98">
        <v>0</v>
      </c>
      <c r="I7" s="98"/>
      <c r="J7" s="98">
        <v>5000000</v>
      </c>
      <c r="K7" s="98">
        <v>0</v>
      </c>
      <c r="L7" s="104"/>
      <c r="M7" s="106">
        <f>L7*1.044</f>
        <v>0</v>
      </c>
      <c r="N7" s="103">
        <f>M7*1.045</f>
        <v>0</v>
      </c>
      <c r="O7" s="53" t="s">
        <v>820</v>
      </c>
      <c r="P7" s="126"/>
      <c r="Q7" s="128"/>
      <c r="R7" s="126"/>
      <c r="S7" s="126"/>
      <c r="T7" s="126"/>
      <c r="U7" s="126"/>
      <c r="V7" s="126"/>
    </row>
    <row r="8" spans="1:22" x14ac:dyDescent="0.25">
      <c r="A8" s="50" t="s">
        <v>11</v>
      </c>
      <c r="B8" s="100" t="s">
        <v>441</v>
      </c>
      <c r="C8" s="50" t="s">
        <v>442</v>
      </c>
      <c r="D8" s="98">
        <v>0</v>
      </c>
      <c r="E8" s="98"/>
      <c r="F8" s="98">
        <v>0</v>
      </c>
      <c r="G8" s="98">
        <v>0</v>
      </c>
      <c r="H8" s="98">
        <v>0</v>
      </c>
      <c r="I8" s="98"/>
      <c r="J8" s="98">
        <v>0</v>
      </c>
      <c r="K8" s="98">
        <v>0</v>
      </c>
      <c r="L8" s="98"/>
      <c r="M8" s="98"/>
      <c r="N8" s="98"/>
      <c r="O8" s="53"/>
      <c r="P8" s="126"/>
      <c r="Q8" s="128"/>
      <c r="R8" s="126"/>
      <c r="S8" s="126"/>
      <c r="T8" s="126"/>
      <c r="U8" s="126"/>
      <c r="V8" s="126"/>
    </row>
    <row r="9" spans="1:22" x14ac:dyDescent="0.25">
      <c r="A9" s="50" t="s">
        <v>11</v>
      </c>
      <c r="B9" s="100" t="s">
        <v>443</v>
      </c>
      <c r="C9" s="50" t="s">
        <v>444</v>
      </c>
      <c r="D9" s="98">
        <v>2050000</v>
      </c>
      <c r="E9" s="98"/>
      <c r="F9" s="98">
        <v>0</v>
      </c>
      <c r="G9" s="98">
        <v>0</v>
      </c>
      <c r="H9" s="98">
        <v>0</v>
      </c>
      <c r="I9" s="98"/>
      <c r="J9" s="98">
        <v>2050000</v>
      </c>
      <c r="K9" s="98">
        <v>0</v>
      </c>
      <c r="L9" s="98"/>
      <c r="M9" s="98"/>
      <c r="N9" s="98"/>
      <c r="O9" s="53"/>
      <c r="P9" s="126"/>
      <c r="Q9" s="128"/>
      <c r="R9" s="126"/>
      <c r="S9" s="126"/>
      <c r="T9" s="126"/>
      <c r="U9" s="126"/>
      <c r="V9" s="126"/>
    </row>
    <row r="10" spans="1:22" x14ac:dyDescent="0.25">
      <c r="A10" s="50" t="s">
        <v>11</v>
      </c>
      <c r="B10" s="100" t="s">
        <v>445</v>
      </c>
      <c r="C10" s="50" t="s">
        <v>446</v>
      </c>
      <c r="D10" s="98">
        <v>0</v>
      </c>
      <c r="E10" s="98"/>
      <c r="F10" s="98">
        <v>0</v>
      </c>
      <c r="G10" s="98">
        <v>0</v>
      </c>
      <c r="H10" s="98">
        <v>0</v>
      </c>
      <c r="I10" s="98"/>
      <c r="J10" s="98">
        <v>0</v>
      </c>
      <c r="K10" s="98">
        <v>0</v>
      </c>
      <c r="L10" s="98"/>
      <c r="M10" s="98"/>
      <c r="N10" s="98"/>
      <c r="O10" s="53"/>
      <c r="P10" s="126"/>
      <c r="Q10" s="128"/>
      <c r="R10" s="126"/>
      <c r="S10" s="126"/>
      <c r="T10" s="126"/>
      <c r="U10" s="126"/>
      <c r="V10" s="126"/>
    </row>
    <row r="11" spans="1:22" x14ac:dyDescent="0.25">
      <c r="A11" s="50" t="s">
        <v>11</v>
      </c>
      <c r="B11" s="100" t="s">
        <v>447</v>
      </c>
      <c r="C11" s="50" t="s">
        <v>448</v>
      </c>
      <c r="D11" s="98">
        <v>1200000</v>
      </c>
      <c r="E11" s="98"/>
      <c r="F11" s="98">
        <v>0</v>
      </c>
      <c r="G11" s="98">
        <v>0</v>
      </c>
      <c r="H11" s="98">
        <v>0</v>
      </c>
      <c r="I11" s="98"/>
      <c r="J11" s="98">
        <v>1200000</v>
      </c>
      <c r="K11" s="98">
        <v>0</v>
      </c>
      <c r="L11" s="98"/>
      <c r="M11" s="98"/>
      <c r="N11" s="98"/>
      <c r="O11" s="53"/>
      <c r="P11" s="126"/>
      <c r="Q11" s="128"/>
      <c r="R11" s="126"/>
      <c r="S11" s="126"/>
      <c r="T11" s="126"/>
      <c r="U11" s="126"/>
      <c r="V11" s="126"/>
    </row>
    <row r="12" spans="1:22" x14ac:dyDescent="0.25">
      <c r="A12" s="50" t="s">
        <v>11</v>
      </c>
      <c r="B12" s="100" t="s">
        <v>449</v>
      </c>
      <c r="C12" s="50" t="s">
        <v>450</v>
      </c>
      <c r="D12" s="98">
        <v>1200000</v>
      </c>
      <c r="E12" s="98"/>
      <c r="F12" s="98">
        <v>0</v>
      </c>
      <c r="G12" s="98">
        <v>0</v>
      </c>
      <c r="H12" s="98">
        <v>0</v>
      </c>
      <c r="I12" s="98"/>
      <c r="J12" s="98">
        <v>1200000</v>
      </c>
      <c r="K12" s="98">
        <v>0</v>
      </c>
      <c r="L12" s="98"/>
      <c r="M12" s="98"/>
      <c r="N12" s="98"/>
      <c r="O12" s="53"/>
      <c r="P12" s="126"/>
      <c r="Q12" s="128"/>
      <c r="R12" s="126"/>
      <c r="S12" s="126"/>
      <c r="T12" s="126"/>
      <c r="U12" s="126"/>
      <c r="V12" s="126"/>
    </row>
    <row r="13" spans="1:22" x14ac:dyDescent="0.25">
      <c r="A13" s="50" t="s">
        <v>11</v>
      </c>
      <c r="B13" s="100" t="s">
        <v>451</v>
      </c>
      <c r="C13" s="50" t="s">
        <v>452</v>
      </c>
      <c r="D13" s="98">
        <v>1200000</v>
      </c>
      <c r="E13" s="98"/>
      <c r="F13" s="98">
        <v>0</v>
      </c>
      <c r="G13" s="98">
        <v>0</v>
      </c>
      <c r="H13" s="98">
        <v>0</v>
      </c>
      <c r="I13" s="98"/>
      <c r="J13" s="98">
        <v>1200000</v>
      </c>
      <c r="K13" s="98">
        <v>0</v>
      </c>
      <c r="L13" s="98"/>
      <c r="M13" s="98"/>
      <c r="N13" s="98"/>
      <c r="O13" s="53"/>
      <c r="P13" s="126"/>
      <c r="Q13" s="128"/>
      <c r="R13" s="126"/>
      <c r="S13" s="126"/>
      <c r="T13" s="126"/>
      <c r="U13" s="126"/>
      <c r="V13" s="126"/>
    </row>
    <row r="14" spans="1:22" x14ac:dyDescent="0.25">
      <c r="A14" s="50" t="s">
        <v>11</v>
      </c>
      <c r="B14" s="100" t="s">
        <v>453</v>
      </c>
      <c r="C14" s="50" t="s">
        <v>454</v>
      </c>
      <c r="D14" s="98">
        <v>2000000</v>
      </c>
      <c r="E14" s="98"/>
      <c r="F14" s="98">
        <v>0</v>
      </c>
      <c r="G14" s="98">
        <v>0</v>
      </c>
      <c r="H14" s="98">
        <v>0</v>
      </c>
      <c r="I14" s="98"/>
      <c r="J14" s="98">
        <v>2000000</v>
      </c>
      <c r="K14" s="98">
        <v>0</v>
      </c>
      <c r="L14" s="98"/>
      <c r="M14" s="98"/>
      <c r="N14" s="98"/>
      <c r="O14" s="53"/>
      <c r="P14" s="126"/>
      <c r="Q14" s="128"/>
      <c r="R14" s="126"/>
      <c r="S14" s="126"/>
      <c r="T14" s="126"/>
      <c r="U14" s="126"/>
      <c r="V14" s="126"/>
    </row>
    <row r="15" spans="1:22" x14ac:dyDescent="0.25">
      <c r="A15" s="50" t="s">
        <v>11</v>
      </c>
      <c r="B15" s="100" t="s">
        <v>455</v>
      </c>
      <c r="C15" s="50" t="s">
        <v>456</v>
      </c>
      <c r="D15" s="98">
        <v>1000000</v>
      </c>
      <c r="E15" s="98"/>
      <c r="F15" s="98">
        <v>0</v>
      </c>
      <c r="G15" s="98">
        <v>0</v>
      </c>
      <c r="H15" s="98">
        <v>0</v>
      </c>
      <c r="I15" s="98"/>
      <c r="J15" s="98">
        <v>1000000</v>
      </c>
      <c r="K15" s="98">
        <v>0</v>
      </c>
      <c r="L15" s="98"/>
      <c r="M15" s="98"/>
      <c r="N15" s="98"/>
      <c r="O15" s="53"/>
      <c r="P15" s="126"/>
      <c r="Q15" s="128"/>
      <c r="R15" s="126"/>
      <c r="S15" s="126"/>
      <c r="T15" s="126"/>
      <c r="U15" s="126"/>
      <c r="V15" s="126"/>
    </row>
    <row r="16" spans="1:22" x14ac:dyDescent="0.25">
      <c r="A16" s="50" t="s">
        <v>11</v>
      </c>
      <c r="B16" s="100" t="s">
        <v>457</v>
      </c>
      <c r="C16" s="50" t="s">
        <v>458</v>
      </c>
      <c r="D16" s="98">
        <v>1200000</v>
      </c>
      <c r="E16" s="98"/>
      <c r="F16" s="98">
        <v>0</v>
      </c>
      <c r="G16" s="98">
        <v>0</v>
      </c>
      <c r="H16" s="98">
        <v>0</v>
      </c>
      <c r="I16" s="98"/>
      <c r="J16" s="98">
        <v>1200000</v>
      </c>
      <c r="K16" s="98">
        <v>0</v>
      </c>
      <c r="L16" s="98"/>
      <c r="M16" s="98"/>
      <c r="N16" s="98"/>
      <c r="O16" s="53"/>
      <c r="P16" s="126"/>
      <c r="Q16" s="128"/>
      <c r="R16" s="126"/>
      <c r="S16" s="126"/>
      <c r="T16" s="126"/>
      <c r="U16" s="126"/>
      <c r="V16" s="126"/>
    </row>
    <row r="17" spans="1:22" x14ac:dyDescent="0.25">
      <c r="A17" s="50" t="s">
        <v>11</v>
      </c>
      <c r="B17" s="100" t="s">
        <v>459</v>
      </c>
      <c r="C17" s="50" t="s">
        <v>460</v>
      </c>
      <c r="D17" s="98">
        <v>1000000</v>
      </c>
      <c r="E17" s="98"/>
      <c r="F17" s="98">
        <v>0</v>
      </c>
      <c r="G17" s="98">
        <v>0</v>
      </c>
      <c r="H17" s="98">
        <v>0</v>
      </c>
      <c r="I17" s="98"/>
      <c r="J17" s="98">
        <v>1000000</v>
      </c>
      <c r="K17" s="98">
        <v>0</v>
      </c>
      <c r="L17" s="98"/>
      <c r="M17" s="98"/>
      <c r="N17" s="98"/>
      <c r="O17" s="53"/>
      <c r="P17" s="126"/>
      <c r="Q17" s="128"/>
      <c r="R17" s="126"/>
      <c r="S17" s="126"/>
      <c r="T17" s="126"/>
      <c r="U17" s="126"/>
      <c r="V17" s="126"/>
    </row>
    <row r="18" spans="1:22" x14ac:dyDescent="0.25">
      <c r="A18" s="50" t="s">
        <v>11</v>
      </c>
      <c r="B18" s="100" t="s">
        <v>461</v>
      </c>
      <c r="C18" s="50" t="s">
        <v>462</v>
      </c>
      <c r="D18" s="98">
        <v>1400000</v>
      </c>
      <c r="E18" s="98"/>
      <c r="F18" s="98">
        <v>0</v>
      </c>
      <c r="G18" s="98">
        <v>0</v>
      </c>
      <c r="H18" s="98">
        <v>0</v>
      </c>
      <c r="I18" s="98"/>
      <c r="J18" s="98">
        <v>1400000</v>
      </c>
      <c r="K18" s="98">
        <v>0</v>
      </c>
      <c r="L18" s="98"/>
      <c r="M18" s="98"/>
      <c r="N18" s="98"/>
      <c r="O18" s="53"/>
      <c r="P18" s="126"/>
      <c r="Q18" s="128"/>
      <c r="R18" s="126"/>
      <c r="S18" s="126"/>
      <c r="T18" s="126"/>
      <c r="U18" s="126"/>
      <c r="V18" s="126"/>
    </row>
    <row r="19" spans="1:22" x14ac:dyDescent="0.25">
      <c r="A19" s="50" t="s">
        <v>11</v>
      </c>
      <c r="B19" s="100" t="s">
        <v>463</v>
      </c>
      <c r="C19" s="50" t="s">
        <v>464</v>
      </c>
      <c r="D19" s="98">
        <v>2000000</v>
      </c>
      <c r="E19" s="98"/>
      <c r="F19" s="98">
        <v>0</v>
      </c>
      <c r="G19" s="98">
        <v>0</v>
      </c>
      <c r="H19" s="98">
        <v>0</v>
      </c>
      <c r="I19" s="98"/>
      <c r="J19" s="98">
        <v>2000000</v>
      </c>
      <c r="K19" s="98">
        <v>0</v>
      </c>
      <c r="L19" s="98"/>
      <c r="M19" s="98"/>
      <c r="N19" s="98"/>
      <c r="O19" s="53"/>
      <c r="P19" s="126"/>
      <c r="Q19" s="128"/>
      <c r="R19" s="126"/>
      <c r="S19" s="126"/>
      <c r="T19" s="126"/>
      <c r="U19" s="126"/>
      <c r="V19" s="126"/>
    </row>
    <row r="20" spans="1:22" x14ac:dyDescent="0.25">
      <c r="A20" s="50" t="s">
        <v>11</v>
      </c>
      <c r="B20" s="100" t="s">
        <v>465</v>
      </c>
      <c r="C20" s="50" t="s">
        <v>466</v>
      </c>
      <c r="D20" s="98">
        <v>4000000</v>
      </c>
      <c r="E20" s="98"/>
      <c r="F20" s="98">
        <v>0</v>
      </c>
      <c r="G20" s="98">
        <v>0</v>
      </c>
      <c r="H20" s="98">
        <v>0</v>
      </c>
      <c r="I20" s="98"/>
      <c r="J20" s="98">
        <v>4000000</v>
      </c>
      <c r="K20" s="98">
        <v>0</v>
      </c>
      <c r="L20" s="98"/>
      <c r="M20" s="98"/>
      <c r="N20" s="98"/>
      <c r="O20" s="53"/>
      <c r="P20" s="126"/>
      <c r="Q20" s="128"/>
      <c r="R20" s="126"/>
      <c r="S20" s="126"/>
      <c r="T20" s="126"/>
      <c r="U20" s="126"/>
      <c r="V20" s="126"/>
    </row>
    <row r="21" spans="1:22" x14ac:dyDescent="0.25">
      <c r="A21" s="50" t="s">
        <v>11</v>
      </c>
      <c r="B21" s="100" t="s">
        <v>467</v>
      </c>
      <c r="C21" s="50" t="s">
        <v>468</v>
      </c>
      <c r="D21" s="98">
        <v>1200000</v>
      </c>
      <c r="E21" s="98"/>
      <c r="F21" s="98">
        <v>0</v>
      </c>
      <c r="G21" s="98">
        <v>0</v>
      </c>
      <c r="H21" s="98">
        <v>0</v>
      </c>
      <c r="I21" s="98"/>
      <c r="J21" s="98">
        <v>1200000</v>
      </c>
      <c r="K21" s="98">
        <v>0</v>
      </c>
      <c r="L21" s="98"/>
      <c r="M21" s="98"/>
      <c r="N21" s="98"/>
      <c r="O21" s="53"/>
      <c r="P21" s="126"/>
      <c r="Q21" s="128"/>
      <c r="R21" s="126"/>
      <c r="S21" s="126"/>
      <c r="T21" s="126"/>
      <c r="U21" s="126"/>
      <c r="V21" s="126"/>
    </row>
    <row r="22" spans="1:22" x14ac:dyDescent="0.25">
      <c r="A22" s="50" t="s">
        <v>11</v>
      </c>
      <c r="B22" s="100" t="s">
        <v>475</v>
      </c>
      <c r="C22" s="50" t="s">
        <v>476</v>
      </c>
      <c r="D22" s="98">
        <v>500000</v>
      </c>
      <c r="E22" s="98"/>
      <c r="F22" s="98">
        <v>0</v>
      </c>
      <c r="G22" s="98">
        <v>0</v>
      </c>
      <c r="H22" s="98">
        <v>0</v>
      </c>
      <c r="I22" s="98"/>
      <c r="J22" s="98">
        <v>500000</v>
      </c>
      <c r="K22" s="98">
        <v>0</v>
      </c>
      <c r="L22" s="98"/>
      <c r="M22" s="98"/>
      <c r="N22" s="98"/>
      <c r="O22" s="53" t="s">
        <v>821</v>
      </c>
      <c r="P22" s="126"/>
      <c r="Q22" s="128"/>
      <c r="R22" s="126"/>
      <c r="S22" s="126"/>
      <c r="T22" s="126"/>
      <c r="U22" s="126"/>
      <c r="V22" s="126"/>
    </row>
    <row r="23" spans="1:22" x14ac:dyDescent="0.25">
      <c r="A23" s="50" t="s">
        <v>11</v>
      </c>
      <c r="B23" s="100" t="s">
        <v>477</v>
      </c>
      <c r="C23" s="50" t="s">
        <v>478</v>
      </c>
      <c r="D23" s="98">
        <v>1900000</v>
      </c>
      <c r="E23" s="98"/>
      <c r="F23" s="98">
        <v>0</v>
      </c>
      <c r="G23" s="98">
        <v>0</v>
      </c>
      <c r="H23" s="98">
        <v>0</v>
      </c>
      <c r="I23" s="98"/>
      <c r="J23" s="98">
        <v>1900000</v>
      </c>
      <c r="K23" s="98">
        <v>0</v>
      </c>
      <c r="L23" s="98"/>
      <c r="M23" s="98"/>
      <c r="N23" s="98"/>
      <c r="O23" s="53"/>
      <c r="P23" s="126"/>
      <c r="Q23" s="128"/>
      <c r="R23" s="126"/>
      <c r="S23" s="126"/>
      <c r="T23" s="126"/>
      <c r="U23" s="126"/>
      <c r="V23" s="126"/>
    </row>
    <row r="24" spans="1:22" x14ac:dyDescent="0.25">
      <c r="A24" s="50" t="s">
        <v>11</v>
      </c>
      <c r="B24" s="100" t="s">
        <v>479</v>
      </c>
      <c r="C24" s="50" t="s">
        <v>480</v>
      </c>
      <c r="D24" s="98">
        <v>750000</v>
      </c>
      <c r="E24" s="98"/>
      <c r="F24" s="98">
        <v>0</v>
      </c>
      <c r="G24" s="98">
        <v>0</v>
      </c>
      <c r="H24" s="98">
        <v>0</v>
      </c>
      <c r="I24" s="98"/>
      <c r="J24" s="98">
        <v>750000</v>
      </c>
      <c r="K24" s="98">
        <v>0</v>
      </c>
      <c r="L24" s="98"/>
      <c r="M24" s="98"/>
      <c r="N24" s="98"/>
      <c r="O24" s="53"/>
      <c r="P24" s="126"/>
      <c r="Q24" s="128"/>
      <c r="R24" s="126"/>
      <c r="S24" s="126"/>
      <c r="T24" s="126"/>
      <c r="U24" s="126"/>
      <c r="V24" s="126"/>
    </row>
    <row r="25" spans="1:22" x14ac:dyDescent="0.25">
      <c r="A25" s="50" t="s">
        <v>11</v>
      </c>
      <c r="B25" s="100" t="s">
        <v>481</v>
      </c>
      <c r="C25" s="50" t="s">
        <v>482</v>
      </c>
      <c r="D25" s="98">
        <v>0</v>
      </c>
      <c r="E25" s="98"/>
      <c r="F25" s="98">
        <v>0</v>
      </c>
      <c r="G25" s="98">
        <v>0</v>
      </c>
      <c r="H25" s="98">
        <v>0</v>
      </c>
      <c r="I25" s="98"/>
      <c r="J25" s="98">
        <v>0</v>
      </c>
      <c r="K25" s="98">
        <v>0</v>
      </c>
      <c r="L25" s="98"/>
      <c r="M25" s="98"/>
      <c r="N25" s="98"/>
      <c r="O25" s="53"/>
      <c r="P25" s="126"/>
      <c r="Q25" s="128"/>
      <c r="R25" s="126"/>
      <c r="S25" s="126"/>
      <c r="T25" s="126"/>
      <c r="U25" s="126"/>
      <c r="V25" s="126"/>
    </row>
    <row r="26" spans="1:22" x14ac:dyDescent="0.25">
      <c r="A26" s="50" t="s">
        <v>11</v>
      </c>
      <c r="B26" s="100" t="s">
        <v>483</v>
      </c>
      <c r="C26" s="50" t="s">
        <v>484</v>
      </c>
      <c r="D26" s="98">
        <v>500000</v>
      </c>
      <c r="E26" s="98"/>
      <c r="F26" s="98">
        <v>0</v>
      </c>
      <c r="G26" s="98">
        <v>0</v>
      </c>
      <c r="H26" s="98">
        <v>0</v>
      </c>
      <c r="I26" s="98"/>
      <c r="J26" s="98">
        <v>500000</v>
      </c>
      <c r="K26" s="98">
        <v>0</v>
      </c>
      <c r="L26" s="98"/>
      <c r="M26" s="98"/>
      <c r="N26" s="98"/>
      <c r="O26" s="53"/>
      <c r="P26" s="126"/>
      <c r="Q26" s="128"/>
      <c r="R26" s="126"/>
      <c r="S26" s="126"/>
      <c r="T26" s="126"/>
      <c r="U26" s="126"/>
      <c r="V26" s="126"/>
    </row>
    <row r="27" spans="1:22" s="40" customFormat="1" x14ac:dyDescent="0.25">
      <c r="A27" s="101" t="s">
        <v>11</v>
      </c>
      <c r="B27" s="102" t="s">
        <v>485</v>
      </c>
      <c r="C27" s="101" t="s">
        <v>486</v>
      </c>
      <c r="D27" s="103">
        <v>5980000</v>
      </c>
      <c r="E27" s="103"/>
      <c r="F27" s="103">
        <v>0</v>
      </c>
      <c r="G27" s="103">
        <v>0</v>
      </c>
      <c r="H27" s="103">
        <v>0</v>
      </c>
      <c r="I27" s="103"/>
      <c r="J27" s="103">
        <v>5980000</v>
      </c>
      <c r="K27" s="103">
        <v>0</v>
      </c>
      <c r="L27" s="103"/>
      <c r="M27" s="103"/>
      <c r="N27" s="103"/>
      <c r="O27" s="132"/>
      <c r="P27" s="127"/>
      <c r="Q27" s="130"/>
      <c r="R27" s="127"/>
      <c r="S27" s="127"/>
      <c r="T27" s="127"/>
      <c r="U27" s="127"/>
      <c r="V27" s="127"/>
    </row>
    <row r="28" spans="1:22" s="40" customFormat="1" x14ac:dyDescent="0.25">
      <c r="A28" s="101" t="s">
        <v>11</v>
      </c>
      <c r="B28" s="102" t="s">
        <v>552</v>
      </c>
      <c r="C28" s="101" t="s">
        <v>921</v>
      </c>
      <c r="D28" s="103">
        <v>10127102</v>
      </c>
      <c r="E28" s="103">
        <v>0</v>
      </c>
      <c r="F28" s="103">
        <v>526437.31000000006</v>
      </c>
      <c r="G28" s="103">
        <v>3764411.93</v>
      </c>
      <c r="H28" s="103">
        <v>2235588.0699999998</v>
      </c>
      <c r="I28" s="103">
        <v>0</v>
      </c>
      <c r="J28" s="103">
        <v>7891513.9299999997</v>
      </c>
      <c r="K28" s="103">
        <v>22.07</v>
      </c>
      <c r="L28" s="103"/>
      <c r="M28" s="103"/>
      <c r="N28" s="103"/>
      <c r="O28" s="132"/>
      <c r="P28" s="127"/>
      <c r="Q28" s="130"/>
      <c r="R28" s="127"/>
      <c r="S28" s="127"/>
      <c r="T28" s="127"/>
      <c r="U28" s="127"/>
      <c r="V28" s="127"/>
    </row>
    <row r="29" spans="1:22" s="40" customFormat="1" x14ac:dyDescent="0.25">
      <c r="A29" s="101"/>
      <c r="B29" s="102" t="s">
        <v>871</v>
      </c>
      <c r="C29" s="101" t="s">
        <v>920</v>
      </c>
      <c r="D29" s="103"/>
      <c r="E29" s="103"/>
      <c r="F29" s="103"/>
      <c r="G29" s="103"/>
      <c r="H29" s="103"/>
      <c r="I29" s="103"/>
      <c r="J29" s="103"/>
      <c r="K29" s="103"/>
      <c r="L29" s="103">
        <v>2200000</v>
      </c>
      <c r="M29" s="103">
        <v>2000000</v>
      </c>
      <c r="N29" s="103"/>
      <c r="O29" s="132"/>
      <c r="P29" s="127"/>
      <c r="Q29" s="130"/>
      <c r="R29" s="127"/>
      <c r="S29" s="127"/>
      <c r="T29" s="127"/>
      <c r="U29" s="127"/>
      <c r="V29" s="127"/>
    </row>
    <row r="30" spans="1:22" s="40" customFormat="1" x14ac:dyDescent="0.25">
      <c r="A30" s="101"/>
      <c r="B30" s="142"/>
      <c r="C30" s="143" t="s">
        <v>710</v>
      </c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32"/>
      <c r="P30" s="127"/>
      <c r="Q30" s="130"/>
      <c r="R30" s="127"/>
      <c r="S30" s="127"/>
      <c r="T30" s="127"/>
      <c r="U30" s="127"/>
      <c r="V30" s="127"/>
    </row>
    <row r="31" spans="1:22" s="40" customFormat="1" x14ac:dyDescent="0.25">
      <c r="A31" s="101" t="s">
        <v>11</v>
      </c>
      <c r="B31" s="102" t="s">
        <v>553</v>
      </c>
      <c r="C31" s="101" t="s">
        <v>554</v>
      </c>
      <c r="D31" s="103">
        <v>300000</v>
      </c>
      <c r="E31" s="103"/>
      <c r="F31" s="103">
        <v>0</v>
      </c>
      <c r="G31" s="103">
        <v>0</v>
      </c>
      <c r="H31" s="103">
        <v>0</v>
      </c>
      <c r="I31" s="103"/>
      <c r="J31" s="103">
        <v>300000</v>
      </c>
      <c r="K31" s="103">
        <v>0</v>
      </c>
      <c r="L31" s="103"/>
      <c r="M31" s="103"/>
      <c r="N31" s="103"/>
      <c r="O31" s="132"/>
      <c r="P31" s="127"/>
      <c r="Q31" s="130"/>
      <c r="R31" s="127"/>
      <c r="S31" s="127"/>
      <c r="T31" s="127"/>
      <c r="U31" s="127"/>
      <c r="V31" s="127"/>
    </row>
    <row r="32" spans="1:22" s="40" customFormat="1" x14ac:dyDescent="0.25">
      <c r="A32" s="101" t="s">
        <v>11</v>
      </c>
      <c r="B32" s="102" t="s">
        <v>555</v>
      </c>
      <c r="C32" s="101" t="s">
        <v>556</v>
      </c>
      <c r="D32" s="103">
        <v>69020</v>
      </c>
      <c r="E32" s="103"/>
      <c r="F32" s="103">
        <v>0</v>
      </c>
      <c r="G32" s="103">
        <v>0</v>
      </c>
      <c r="H32" s="103">
        <v>0</v>
      </c>
      <c r="I32" s="103"/>
      <c r="J32" s="103">
        <v>69020</v>
      </c>
      <c r="K32" s="103">
        <v>0</v>
      </c>
      <c r="L32" s="103"/>
      <c r="M32" s="103"/>
      <c r="N32" s="103"/>
      <c r="O32" s="132"/>
      <c r="P32" s="127"/>
      <c r="Q32" s="130"/>
      <c r="R32" s="127"/>
      <c r="S32" s="127"/>
      <c r="T32" s="127"/>
      <c r="U32" s="127"/>
      <c r="V32" s="127"/>
    </row>
    <row r="33" spans="1:22" s="40" customFormat="1" ht="30" x14ac:dyDescent="0.25">
      <c r="A33" s="101" t="s">
        <v>11</v>
      </c>
      <c r="B33" s="102" t="s">
        <v>557</v>
      </c>
      <c r="C33" s="101" t="s">
        <v>558</v>
      </c>
      <c r="D33" s="103">
        <v>1650000</v>
      </c>
      <c r="E33" s="103"/>
      <c r="F33" s="103">
        <v>297475.20000000001</v>
      </c>
      <c r="G33" s="103">
        <v>193194.68</v>
      </c>
      <c r="H33" s="103">
        <v>765129.52</v>
      </c>
      <c r="I33" s="103"/>
      <c r="J33" s="103">
        <v>884870.48</v>
      </c>
      <c r="K33" s="103">
        <v>46.37</v>
      </c>
      <c r="L33" s="103">
        <v>1000000</v>
      </c>
      <c r="M33" s="103"/>
      <c r="N33" s="103"/>
      <c r="O33" s="146" t="s">
        <v>715</v>
      </c>
      <c r="P33" s="145"/>
      <c r="Q33" s="145"/>
      <c r="R33" s="145"/>
      <c r="S33" s="145"/>
      <c r="T33" s="145"/>
      <c r="U33" s="145"/>
      <c r="V33" s="145"/>
    </row>
    <row r="34" spans="1:22" ht="15.75" thickBot="1" x14ac:dyDescent="0.3">
      <c r="A34" s="123"/>
      <c r="B34" s="123"/>
      <c r="C34" s="124" t="s">
        <v>674</v>
      </c>
      <c r="D34" s="125">
        <f t="shared" ref="D34:N34" si="0">SUM(D5:D33)</f>
        <v>50026122</v>
      </c>
      <c r="E34" s="125">
        <f t="shared" si="0"/>
        <v>0</v>
      </c>
      <c r="F34" s="125">
        <f t="shared" si="0"/>
        <v>823912.51</v>
      </c>
      <c r="G34" s="125">
        <f t="shared" si="0"/>
        <v>3957606.6100000003</v>
      </c>
      <c r="H34" s="125">
        <f t="shared" si="0"/>
        <v>3000717.59</v>
      </c>
      <c r="I34" s="125">
        <f t="shared" si="0"/>
        <v>0</v>
      </c>
      <c r="J34" s="125">
        <f t="shared" si="0"/>
        <v>47025404.409999996</v>
      </c>
      <c r="K34" s="125">
        <f t="shared" si="0"/>
        <v>68.44</v>
      </c>
      <c r="L34" s="125">
        <f t="shared" si="0"/>
        <v>7100000</v>
      </c>
      <c r="M34" s="125">
        <f t="shared" si="0"/>
        <v>2000000</v>
      </c>
      <c r="N34" s="125">
        <f t="shared" si="0"/>
        <v>0</v>
      </c>
      <c r="O34" s="123"/>
    </row>
    <row r="35" spans="1:22" ht="15.75" thickTop="1" x14ac:dyDescent="0.25"/>
    <row r="36" spans="1:22" x14ac:dyDescent="0.25">
      <c r="A36" s="50" t="s">
        <v>11</v>
      </c>
      <c r="B36" s="100" t="s">
        <v>487</v>
      </c>
      <c r="C36" s="50" t="s">
        <v>800</v>
      </c>
      <c r="D36" s="98">
        <v>2500000</v>
      </c>
      <c r="E36" s="98"/>
      <c r="F36" s="98">
        <v>0</v>
      </c>
      <c r="G36" s="98">
        <v>109792.48</v>
      </c>
      <c r="H36" s="98">
        <v>190207.52</v>
      </c>
      <c r="I36" s="98"/>
      <c r="J36" s="98">
        <v>2309792.48</v>
      </c>
      <c r="K36" s="98">
        <v>7.6</v>
      </c>
      <c r="L36" s="98">
        <v>0</v>
      </c>
      <c r="M36" s="98">
        <v>0</v>
      </c>
      <c r="N36" s="98">
        <v>0</v>
      </c>
    </row>
    <row r="37" spans="1:22" x14ac:dyDescent="0.25">
      <c r="A37" s="50" t="s">
        <v>11</v>
      </c>
      <c r="B37" s="100" t="s">
        <v>488</v>
      </c>
      <c r="C37" s="50" t="s">
        <v>489</v>
      </c>
      <c r="D37" s="98">
        <v>1397102</v>
      </c>
      <c r="E37" s="98"/>
      <c r="F37" s="98">
        <v>0</v>
      </c>
      <c r="G37" s="98">
        <v>285420.49</v>
      </c>
      <c r="H37" s="98">
        <v>737593.16</v>
      </c>
      <c r="I37" s="98"/>
      <c r="J37" s="98">
        <v>659508.84</v>
      </c>
      <c r="K37" s="98">
        <v>52.79</v>
      </c>
      <c r="L37" s="98">
        <v>8000000</v>
      </c>
      <c r="M37" s="98">
        <v>0</v>
      </c>
      <c r="N37" s="98">
        <v>0</v>
      </c>
    </row>
    <row r="38" spans="1:22" x14ac:dyDescent="0.25">
      <c r="A38" s="50" t="s">
        <v>11</v>
      </c>
      <c r="B38" s="100" t="s">
        <v>490</v>
      </c>
      <c r="C38" s="50" t="s">
        <v>491</v>
      </c>
      <c r="D38" s="98">
        <v>6791934</v>
      </c>
      <c r="E38" s="98"/>
      <c r="F38" s="98">
        <v>0</v>
      </c>
      <c r="G38" s="98">
        <v>2583301.1200000001</v>
      </c>
      <c r="H38" s="98">
        <v>839491.28</v>
      </c>
      <c r="I38" s="98"/>
      <c r="J38" s="98">
        <v>5952442.7199999997</v>
      </c>
      <c r="K38" s="98">
        <v>12.36</v>
      </c>
      <c r="L38" s="98">
        <v>29409971</v>
      </c>
      <c r="M38" s="98">
        <v>0</v>
      </c>
      <c r="N38" s="98">
        <v>0</v>
      </c>
    </row>
    <row r="39" spans="1:22" x14ac:dyDescent="0.25">
      <c r="A39" s="50" t="s">
        <v>11</v>
      </c>
      <c r="B39" s="100" t="s">
        <v>492</v>
      </c>
      <c r="C39" s="50" t="s">
        <v>493</v>
      </c>
      <c r="D39" s="98">
        <v>5818120</v>
      </c>
      <c r="E39" s="98"/>
      <c r="F39" s="98">
        <v>0</v>
      </c>
      <c r="G39" s="98">
        <v>1998327.95</v>
      </c>
      <c r="H39" s="98">
        <v>4666048.63</v>
      </c>
      <c r="I39" s="98"/>
      <c r="J39" s="98">
        <v>1152071.3700000001</v>
      </c>
      <c r="K39" s="98">
        <v>80.19</v>
      </c>
      <c r="L39" s="98">
        <v>0</v>
      </c>
      <c r="M39" s="98">
        <v>0</v>
      </c>
      <c r="N39" s="98">
        <v>0</v>
      </c>
    </row>
    <row r="40" spans="1:22" x14ac:dyDescent="0.25">
      <c r="A40" s="50" t="s">
        <v>11</v>
      </c>
      <c r="B40" s="100" t="s">
        <v>494</v>
      </c>
      <c r="C40" s="50" t="s">
        <v>495</v>
      </c>
      <c r="D40" s="98">
        <v>55121791</v>
      </c>
      <c r="E40" s="98"/>
      <c r="F40" s="98">
        <v>-7841625.5700000003</v>
      </c>
      <c r="G40" s="98">
        <v>17493525.109999999</v>
      </c>
      <c r="H40" s="98">
        <v>36745614.810000002</v>
      </c>
      <c r="I40" s="98"/>
      <c r="J40" s="98">
        <v>18376176.190000001</v>
      </c>
      <c r="K40" s="98">
        <v>66.66</v>
      </c>
      <c r="L40" s="98">
        <v>32748439</v>
      </c>
      <c r="M40" s="98">
        <v>0</v>
      </c>
      <c r="N40" s="98">
        <v>0</v>
      </c>
    </row>
    <row r="41" spans="1:22" x14ac:dyDescent="0.25">
      <c r="A41" s="50" t="s">
        <v>11</v>
      </c>
      <c r="B41" s="100" t="s">
        <v>496</v>
      </c>
      <c r="C41" s="50" t="s">
        <v>497</v>
      </c>
      <c r="D41" s="98">
        <v>66835031</v>
      </c>
      <c r="E41" s="98"/>
      <c r="F41" s="98">
        <v>790220</v>
      </c>
      <c r="G41" s="98">
        <v>24045950</v>
      </c>
      <c r="H41" s="98">
        <v>40111676.240000002</v>
      </c>
      <c r="I41" s="98"/>
      <c r="J41" s="98">
        <v>26723354.760000002</v>
      </c>
      <c r="K41" s="98">
        <v>60.01</v>
      </c>
      <c r="L41" s="98">
        <v>4762404</v>
      </c>
      <c r="M41" s="98">
        <v>0</v>
      </c>
      <c r="N41" s="98">
        <v>0</v>
      </c>
    </row>
    <row r="42" spans="1:22" x14ac:dyDescent="0.25">
      <c r="A42" s="50" t="s">
        <v>11</v>
      </c>
      <c r="B42" s="100" t="s">
        <v>498</v>
      </c>
      <c r="C42" s="50" t="s">
        <v>499</v>
      </c>
      <c r="D42" s="98">
        <v>46716098</v>
      </c>
      <c r="E42" s="98"/>
      <c r="F42" s="98">
        <v>3081830.93</v>
      </c>
      <c r="G42" s="98">
        <v>23990407.16</v>
      </c>
      <c r="H42" s="98">
        <v>22596190.84</v>
      </c>
      <c r="I42" s="98"/>
      <c r="J42" s="98">
        <v>24119907.16</v>
      </c>
      <c r="K42" s="98">
        <v>48.36</v>
      </c>
      <c r="L42" s="98">
        <v>28686829</v>
      </c>
      <c r="M42" s="98">
        <v>0</v>
      </c>
      <c r="N42" s="98">
        <v>0</v>
      </c>
    </row>
    <row r="43" spans="1:22" x14ac:dyDescent="0.25">
      <c r="A43" s="50" t="s">
        <v>11</v>
      </c>
      <c r="B43" s="100" t="s">
        <v>500</v>
      </c>
      <c r="C43" s="50" t="s">
        <v>501</v>
      </c>
      <c r="D43" s="98">
        <v>9330710</v>
      </c>
      <c r="E43" s="98"/>
      <c r="F43" s="98">
        <v>0</v>
      </c>
      <c r="G43" s="98">
        <v>6039945.5199999996</v>
      </c>
      <c r="H43" s="98">
        <v>3260054.48</v>
      </c>
      <c r="I43" s="98"/>
      <c r="J43" s="98">
        <v>6070655.5199999996</v>
      </c>
      <c r="K43" s="98">
        <v>34.93</v>
      </c>
      <c r="L43" s="98">
        <v>85472953.079999998</v>
      </c>
      <c r="M43" s="98">
        <v>24223394</v>
      </c>
      <c r="N43" s="98">
        <v>0</v>
      </c>
    </row>
    <row r="44" spans="1:22" x14ac:dyDescent="0.25">
      <c r="A44" s="50" t="s">
        <v>11</v>
      </c>
      <c r="B44" s="100" t="s">
        <v>502</v>
      </c>
      <c r="C44" s="50" t="s">
        <v>503</v>
      </c>
      <c r="D44" s="98">
        <v>66022461</v>
      </c>
      <c r="E44" s="98"/>
      <c r="F44" s="98">
        <v>16652308.83</v>
      </c>
      <c r="G44" s="98">
        <v>0</v>
      </c>
      <c r="H44" s="98">
        <v>46146153.770000003</v>
      </c>
      <c r="I44" s="98"/>
      <c r="J44" s="98">
        <v>19876307.23</v>
      </c>
      <c r="K44" s="98">
        <v>69.89</v>
      </c>
      <c r="L44" s="98">
        <v>60973427.920000002</v>
      </c>
      <c r="M44" s="98">
        <v>176806828</v>
      </c>
      <c r="N44" s="98">
        <v>123863174.68000001</v>
      </c>
    </row>
    <row r="45" spans="1:22" x14ac:dyDescent="0.25">
      <c r="A45" s="50" t="s">
        <v>11</v>
      </c>
      <c r="B45" s="100" t="s">
        <v>504</v>
      </c>
      <c r="C45" s="50" t="s">
        <v>505</v>
      </c>
      <c r="D45" s="98">
        <v>69318954</v>
      </c>
      <c r="E45" s="98"/>
      <c r="F45" s="98">
        <v>0</v>
      </c>
      <c r="G45" s="98">
        <v>7730485.4199999999</v>
      </c>
      <c r="H45" s="98">
        <v>51536568.060000002</v>
      </c>
      <c r="I45" s="98"/>
      <c r="J45" s="98">
        <v>17782385.940000001</v>
      </c>
      <c r="K45" s="98">
        <v>74.34</v>
      </c>
      <c r="L45" s="98">
        <v>63000000</v>
      </c>
      <c r="M45" s="98">
        <v>113000000</v>
      </c>
      <c r="N45" s="98">
        <v>61412452</v>
      </c>
      <c r="O45" s="2"/>
    </row>
    <row r="46" spans="1:22" x14ac:dyDescent="0.25">
      <c r="A46" s="50" t="s">
        <v>11</v>
      </c>
      <c r="B46" s="100" t="s">
        <v>506</v>
      </c>
      <c r="C46" s="50" t="s">
        <v>507</v>
      </c>
      <c r="D46" s="98">
        <v>29204596</v>
      </c>
      <c r="E46" s="98"/>
      <c r="F46" s="98">
        <v>0</v>
      </c>
      <c r="G46" s="98">
        <v>260315.04</v>
      </c>
      <c r="H46" s="98">
        <v>1735433.61</v>
      </c>
      <c r="I46" s="98"/>
      <c r="J46" s="98">
        <v>27469162.390000001</v>
      </c>
      <c r="K46" s="98">
        <v>5.94</v>
      </c>
      <c r="L46" s="98">
        <v>0</v>
      </c>
      <c r="M46" s="98">
        <v>0</v>
      </c>
      <c r="N46" s="98">
        <v>0</v>
      </c>
      <c r="O46" s="2"/>
    </row>
    <row r="47" spans="1:22" x14ac:dyDescent="0.25">
      <c r="A47" s="50" t="s">
        <v>11</v>
      </c>
      <c r="B47" s="100" t="s">
        <v>548</v>
      </c>
      <c r="C47" s="50" t="s">
        <v>549</v>
      </c>
      <c r="D47" s="98">
        <v>500000</v>
      </c>
      <c r="E47" s="98"/>
      <c r="F47" s="98">
        <v>0</v>
      </c>
      <c r="G47" s="98">
        <v>0</v>
      </c>
      <c r="H47" s="98">
        <v>0</v>
      </c>
      <c r="I47" s="98"/>
      <c r="J47" s="98">
        <v>500000</v>
      </c>
      <c r="K47" s="98">
        <v>0</v>
      </c>
      <c r="L47" s="98">
        <v>0</v>
      </c>
      <c r="M47" s="98">
        <v>0</v>
      </c>
      <c r="N47" s="98">
        <v>0</v>
      </c>
    </row>
    <row r="48" spans="1:22" x14ac:dyDescent="0.25">
      <c r="A48" s="50"/>
      <c r="B48" s="100" t="s">
        <v>706</v>
      </c>
      <c r="C48" s="50" t="s">
        <v>801</v>
      </c>
      <c r="D48" s="98">
        <v>0</v>
      </c>
      <c r="E48" s="98"/>
      <c r="F48" s="98"/>
      <c r="G48" s="98"/>
      <c r="H48" s="98"/>
      <c r="I48" s="98"/>
      <c r="J48" s="98"/>
      <c r="K48" s="98"/>
      <c r="L48" s="98">
        <v>60505976</v>
      </c>
      <c r="M48" s="98">
        <v>60728112</v>
      </c>
      <c r="N48" s="98">
        <v>0</v>
      </c>
    </row>
    <row r="49" spans="1:14" x14ac:dyDescent="0.25">
      <c r="A49" s="50"/>
      <c r="B49" s="100" t="s">
        <v>706</v>
      </c>
      <c r="C49" s="50" t="s">
        <v>802</v>
      </c>
      <c r="D49" s="98">
        <v>0</v>
      </c>
      <c r="E49" s="98"/>
      <c r="F49" s="98"/>
      <c r="G49" s="98"/>
      <c r="H49" s="98"/>
      <c r="I49" s="98"/>
      <c r="J49" s="98"/>
      <c r="K49" s="98"/>
      <c r="L49" s="98">
        <v>40000000</v>
      </c>
      <c r="M49" s="98">
        <v>90819666</v>
      </c>
      <c r="N49" s="98">
        <v>125012086.92</v>
      </c>
    </row>
    <row r="50" spans="1:14" x14ac:dyDescent="0.25">
      <c r="A50" s="50"/>
      <c r="B50" s="100" t="s">
        <v>706</v>
      </c>
      <c r="C50" s="50" t="s">
        <v>803</v>
      </c>
      <c r="D50" s="98">
        <v>0</v>
      </c>
      <c r="E50" s="98"/>
      <c r="F50" s="98"/>
      <c r="G50" s="98"/>
      <c r="H50" s="98"/>
      <c r="I50" s="98"/>
      <c r="J50" s="98"/>
      <c r="K50" s="98"/>
      <c r="L50" s="98">
        <v>0</v>
      </c>
      <c r="M50" s="98">
        <v>0</v>
      </c>
      <c r="N50" s="98">
        <v>100000000</v>
      </c>
    </row>
    <row r="51" spans="1:14" x14ac:dyDescent="0.25">
      <c r="A51" s="50"/>
      <c r="B51" s="100" t="s">
        <v>706</v>
      </c>
      <c r="C51" s="50" t="s">
        <v>804</v>
      </c>
      <c r="D51" s="98">
        <v>0</v>
      </c>
      <c r="E51" s="98"/>
      <c r="F51" s="98"/>
      <c r="G51" s="98"/>
      <c r="H51" s="98"/>
      <c r="I51" s="98"/>
      <c r="J51" s="98"/>
      <c r="K51" s="98"/>
      <c r="L51" s="98">
        <v>0</v>
      </c>
      <c r="M51" s="98">
        <v>10000000</v>
      </c>
      <c r="N51" s="98">
        <v>88934296.400000006</v>
      </c>
    </row>
    <row r="52" spans="1:14" x14ac:dyDescent="0.25">
      <c r="A52" s="44"/>
      <c r="B52" s="133"/>
      <c r="C52" s="134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</row>
    <row r="53" spans="1:14" ht="15.75" thickBot="1" x14ac:dyDescent="0.3">
      <c r="B53" s="123"/>
      <c r="C53" s="124" t="s">
        <v>675</v>
      </c>
      <c r="D53" s="125">
        <f>SUM(D36:D52)+2</f>
        <v>359556799</v>
      </c>
      <c r="E53" s="125">
        <f t="shared" ref="E53:N53" si="1">SUM(E36:E52)+2</f>
        <v>2</v>
      </c>
      <c r="F53" s="125">
        <f t="shared" si="1"/>
        <v>12682736.189999999</v>
      </c>
      <c r="G53" s="125">
        <f t="shared" si="1"/>
        <v>84537472.290000007</v>
      </c>
      <c r="H53" s="125">
        <f t="shared" si="1"/>
        <v>208565034.40000004</v>
      </c>
      <c r="I53" s="125">
        <f t="shared" si="1"/>
        <v>2</v>
      </c>
      <c r="J53" s="125">
        <f t="shared" si="1"/>
        <v>150991766.59999999</v>
      </c>
      <c r="K53" s="125">
        <f t="shared" si="1"/>
        <v>515.07000000000005</v>
      </c>
      <c r="L53" s="125">
        <f t="shared" si="1"/>
        <v>413560002</v>
      </c>
      <c r="M53" s="125">
        <f t="shared" si="1"/>
        <v>475578002</v>
      </c>
      <c r="N53" s="125">
        <f t="shared" si="1"/>
        <v>499222012</v>
      </c>
    </row>
    <row r="54" spans="1:14" ht="15.75" thickTop="1" x14ac:dyDescent="0.25"/>
    <row r="55" spans="1:14" x14ac:dyDescent="0.25">
      <c r="A55" s="50" t="s">
        <v>11</v>
      </c>
      <c r="B55" s="100" t="s">
        <v>469</v>
      </c>
      <c r="C55" s="50" t="s">
        <v>470</v>
      </c>
      <c r="D55" s="98">
        <v>16000800</v>
      </c>
      <c r="E55" s="98"/>
      <c r="F55" s="98">
        <v>0</v>
      </c>
      <c r="G55" s="98">
        <v>1509629.43</v>
      </c>
      <c r="H55" s="98">
        <v>6128898.6299999999</v>
      </c>
      <c r="I55" s="98"/>
      <c r="J55" s="98">
        <v>9871901.3699999992</v>
      </c>
      <c r="K55" s="98">
        <v>38.299999999999997</v>
      </c>
      <c r="L55" s="98">
        <v>13000000</v>
      </c>
      <c r="M55" s="98"/>
      <c r="N55" s="98"/>
    </row>
    <row r="56" spans="1:14" x14ac:dyDescent="0.25">
      <c r="A56" s="50" t="s">
        <v>11</v>
      </c>
      <c r="B56" s="100" t="s">
        <v>471</v>
      </c>
      <c r="C56" s="50" t="s">
        <v>472</v>
      </c>
      <c r="D56" s="98">
        <v>0</v>
      </c>
      <c r="E56" s="98"/>
      <c r="F56" s="98">
        <v>0</v>
      </c>
      <c r="G56" s="98">
        <v>0</v>
      </c>
      <c r="H56" s="98">
        <v>0</v>
      </c>
      <c r="I56" s="98"/>
      <c r="J56" s="98">
        <v>0</v>
      </c>
      <c r="K56" s="98">
        <v>0</v>
      </c>
      <c r="L56" s="98"/>
      <c r="M56" s="98"/>
      <c r="N56" s="98"/>
    </row>
    <row r="57" spans="1:14" x14ac:dyDescent="0.25">
      <c r="A57" s="50" t="s">
        <v>11</v>
      </c>
      <c r="B57" s="100" t="s">
        <v>473</v>
      </c>
      <c r="C57" s="50" t="s">
        <v>474</v>
      </c>
      <c r="D57" s="98">
        <v>2811905</v>
      </c>
      <c r="E57" s="98"/>
      <c r="F57" s="98">
        <v>1572652.51</v>
      </c>
      <c r="G57" s="98">
        <v>0</v>
      </c>
      <c r="H57" s="98">
        <v>1572652.51</v>
      </c>
      <c r="I57" s="98"/>
      <c r="J57" s="98">
        <v>1239252.49</v>
      </c>
      <c r="K57" s="98">
        <v>55.92</v>
      </c>
      <c r="L57" s="98"/>
      <c r="M57" s="98">
        <v>4000000</v>
      </c>
      <c r="N57" s="98"/>
    </row>
    <row r="58" spans="1:14" x14ac:dyDescent="0.25">
      <c r="A58" s="50" t="s">
        <v>11</v>
      </c>
      <c r="B58" s="100" t="s">
        <v>516</v>
      </c>
      <c r="C58" s="50" t="s">
        <v>517</v>
      </c>
      <c r="D58" s="98">
        <v>0</v>
      </c>
      <c r="E58" s="98"/>
      <c r="F58" s="98">
        <v>0</v>
      </c>
      <c r="G58" s="98">
        <v>0</v>
      </c>
      <c r="H58" s="98">
        <v>0</v>
      </c>
      <c r="I58" s="98"/>
      <c r="J58" s="98">
        <v>0</v>
      </c>
      <c r="K58" s="98">
        <v>0</v>
      </c>
      <c r="L58" s="98"/>
      <c r="M58" s="98"/>
      <c r="N58" s="98">
        <v>6500000</v>
      </c>
    </row>
    <row r="59" spans="1:14" x14ac:dyDescent="0.25">
      <c r="A59" s="50" t="s">
        <v>11</v>
      </c>
      <c r="B59" s="100" t="s">
        <v>518</v>
      </c>
      <c r="C59" s="50" t="s">
        <v>519</v>
      </c>
      <c r="D59" s="98">
        <v>0</v>
      </c>
      <c r="E59" s="98"/>
      <c r="F59" s="98">
        <v>-1572652.51</v>
      </c>
      <c r="G59" s="98">
        <v>2550000</v>
      </c>
      <c r="H59" s="98">
        <v>0</v>
      </c>
      <c r="I59" s="98"/>
      <c r="J59" s="98">
        <v>0</v>
      </c>
      <c r="K59" s="98">
        <v>0</v>
      </c>
      <c r="L59" s="98"/>
      <c r="M59" s="98">
        <v>8000000</v>
      </c>
      <c r="N59" s="98">
        <v>3500000</v>
      </c>
    </row>
    <row r="60" spans="1:14" x14ac:dyDescent="0.25">
      <c r="A60" s="50" t="s">
        <v>11</v>
      </c>
      <c r="B60" s="100" t="s">
        <v>520</v>
      </c>
      <c r="C60" s="50" t="s">
        <v>521</v>
      </c>
      <c r="D60" s="98">
        <v>0</v>
      </c>
      <c r="E60" s="98"/>
      <c r="F60" s="98">
        <v>0</v>
      </c>
      <c r="G60" s="98">
        <v>0</v>
      </c>
      <c r="H60" s="98">
        <v>0</v>
      </c>
      <c r="I60" s="98"/>
      <c r="J60" s="98">
        <v>0</v>
      </c>
      <c r="K60" s="98">
        <v>0</v>
      </c>
      <c r="L60" s="98"/>
      <c r="M60" s="98"/>
      <c r="N60" s="98"/>
    </row>
    <row r="61" spans="1:14" x14ac:dyDescent="0.25">
      <c r="A61" s="50" t="s">
        <v>11</v>
      </c>
      <c r="B61" s="100" t="s">
        <v>522</v>
      </c>
      <c r="C61" s="50" t="s">
        <v>523</v>
      </c>
      <c r="D61" s="98">
        <v>8004035</v>
      </c>
      <c r="E61" s="98"/>
      <c r="F61" s="98">
        <v>0</v>
      </c>
      <c r="G61" s="98">
        <v>2459916.7200000002</v>
      </c>
      <c r="H61" s="98">
        <v>3540083.28</v>
      </c>
      <c r="I61" s="98"/>
      <c r="J61" s="98">
        <v>4463951.72</v>
      </c>
      <c r="K61" s="98">
        <v>44.22</v>
      </c>
      <c r="L61" s="98"/>
      <c r="M61" s="98"/>
      <c r="N61" s="98">
        <v>8000000</v>
      </c>
    </row>
    <row r="62" spans="1:14" x14ac:dyDescent="0.25">
      <c r="A62" s="50" t="s">
        <v>11</v>
      </c>
      <c r="B62" s="100" t="s">
        <v>524</v>
      </c>
      <c r="C62" s="50" t="s">
        <v>525</v>
      </c>
      <c r="D62" s="98">
        <v>4411098</v>
      </c>
      <c r="E62" s="98"/>
      <c r="F62" s="98">
        <v>0</v>
      </c>
      <c r="G62" s="98">
        <v>0</v>
      </c>
      <c r="H62" s="98">
        <v>0</v>
      </c>
      <c r="I62" s="98"/>
      <c r="J62" s="98">
        <v>4411098</v>
      </c>
      <c r="K62" s="98">
        <v>0</v>
      </c>
      <c r="L62" s="98"/>
      <c r="M62" s="98"/>
      <c r="N62" s="98"/>
    </row>
    <row r="63" spans="1:14" x14ac:dyDescent="0.25">
      <c r="A63" s="50" t="s">
        <v>11</v>
      </c>
      <c r="B63" s="100" t="s">
        <v>526</v>
      </c>
      <c r="C63" s="50" t="s">
        <v>527</v>
      </c>
      <c r="D63" s="98">
        <v>7000370</v>
      </c>
      <c r="E63" s="98"/>
      <c r="F63" s="98">
        <v>272826.75</v>
      </c>
      <c r="G63" s="98">
        <v>534831.57999999996</v>
      </c>
      <c r="H63" s="98">
        <v>1465168.42</v>
      </c>
      <c r="I63" s="98"/>
      <c r="J63" s="98">
        <v>5535201.5800000001</v>
      </c>
      <c r="K63" s="98">
        <v>20.92</v>
      </c>
      <c r="L63" s="98">
        <v>9000000</v>
      </c>
      <c r="M63" s="98"/>
      <c r="N63" s="98"/>
    </row>
    <row r="64" spans="1:14" x14ac:dyDescent="0.25">
      <c r="A64" s="50" t="s">
        <v>11</v>
      </c>
      <c r="B64" s="100" t="s">
        <v>528</v>
      </c>
      <c r="C64" s="50" t="s">
        <v>529</v>
      </c>
      <c r="D64" s="98">
        <v>7202093</v>
      </c>
      <c r="E64" s="98"/>
      <c r="F64" s="98">
        <v>323247.65000000002</v>
      </c>
      <c r="G64" s="98">
        <v>592736.5</v>
      </c>
      <c r="H64" s="98">
        <v>845274.06</v>
      </c>
      <c r="I64" s="98"/>
      <c r="J64" s="98">
        <v>6356818.9400000004</v>
      </c>
      <c r="K64" s="98">
        <v>11.73</v>
      </c>
      <c r="L64" s="98"/>
      <c r="M64" s="98"/>
      <c r="N64" s="98">
        <v>5000000</v>
      </c>
    </row>
    <row r="65" spans="1:19" x14ac:dyDescent="0.25">
      <c r="A65" s="50" t="s">
        <v>11</v>
      </c>
      <c r="B65" s="100" t="s">
        <v>530</v>
      </c>
      <c r="C65" s="50" t="s">
        <v>531</v>
      </c>
      <c r="D65" s="98">
        <v>0</v>
      </c>
      <c r="E65" s="98"/>
      <c r="F65" s="98">
        <v>0</v>
      </c>
      <c r="G65" s="98">
        <v>0</v>
      </c>
      <c r="H65" s="98">
        <v>0</v>
      </c>
      <c r="I65" s="98"/>
      <c r="J65" s="98">
        <v>0</v>
      </c>
      <c r="K65" s="98">
        <v>0</v>
      </c>
      <c r="L65" s="98">
        <v>8000000</v>
      </c>
      <c r="M65" s="98"/>
      <c r="N65" s="98"/>
    </row>
    <row r="66" spans="1:19" x14ac:dyDescent="0.25">
      <c r="A66" s="50" t="s">
        <v>11</v>
      </c>
      <c r="B66" s="100" t="s">
        <v>532</v>
      </c>
      <c r="C66" s="50" t="s">
        <v>533</v>
      </c>
      <c r="D66" s="98">
        <v>6400240</v>
      </c>
      <c r="E66" s="98"/>
      <c r="F66" s="98">
        <v>0</v>
      </c>
      <c r="G66" s="98">
        <v>2675401.98</v>
      </c>
      <c r="H66" s="98">
        <v>3324598.02</v>
      </c>
      <c r="I66" s="98"/>
      <c r="J66" s="98">
        <v>3075641.98</v>
      </c>
      <c r="K66" s="98">
        <v>51.94</v>
      </c>
      <c r="L66" s="98"/>
      <c r="M66" s="98"/>
      <c r="N66" s="98"/>
    </row>
    <row r="67" spans="1:19" x14ac:dyDescent="0.25">
      <c r="A67" s="50"/>
      <c r="B67" s="100" t="s">
        <v>695</v>
      </c>
      <c r="C67" s="50" t="s">
        <v>805</v>
      </c>
      <c r="D67" s="98"/>
      <c r="E67" s="98"/>
      <c r="F67" s="98"/>
      <c r="G67" s="98"/>
      <c r="H67" s="98"/>
      <c r="I67" s="98"/>
      <c r="J67" s="98"/>
      <c r="K67" s="98"/>
      <c r="L67" s="98">
        <v>9000000</v>
      </c>
      <c r="M67" s="98">
        <v>5000000</v>
      </c>
      <c r="N67" s="98"/>
    </row>
    <row r="68" spans="1:19" x14ac:dyDescent="0.25">
      <c r="A68" s="50"/>
      <c r="B68" s="100" t="s">
        <v>695</v>
      </c>
      <c r="C68" s="50" t="s">
        <v>806</v>
      </c>
      <c r="D68" s="98"/>
      <c r="E68" s="98"/>
      <c r="F68" s="98"/>
      <c r="G68" s="98"/>
      <c r="H68" s="98"/>
      <c r="I68" s="98"/>
      <c r="J68" s="98"/>
      <c r="K68" s="98"/>
      <c r="L68" s="98">
        <v>4000000</v>
      </c>
      <c r="M68" s="98"/>
      <c r="N68" s="98">
        <v>6000000</v>
      </c>
    </row>
    <row r="69" spans="1:19" x14ac:dyDescent="0.25">
      <c r="A69" s="50"/>
      <c r="B69" s="100" t="s">
        <v>695</v>
      </c>
      <c r="C69" s="50" t="s">
        <v>807</v>
      </c>
      <c r="D69" s="98"/>
      <c r="E69" s="98"/>
      <c r="F69" s="98"/>
      <c r="G69" s="98"/>
      <c r="H69" s="98"/>
      <c r="I69" s="98"/>
      <c r="J69" s="98"/>
      <c r="K69" s="98"/>
      <c r="L69" s="98">
        <v>7000000</v>
      </c>
      <c r="M69" s="98"/>
      <c r="N69" s="98"/>
    </row>
    <row r="70" spans="1:19" x14ac:dyDescent="0.25">
      <c r="A70" s="50"/>
      <c r="B70" s="100" t="s">
        <v>695</v>
      </c>
      <c r="C70" s="50" t="s">
        <v>808</v>
      </c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>
        <v>5500000</v>
      </c>
    </row>
    <row r="71" spans="1:19" x14ac:dyDescent="0.25">
      <c r="A71" s="50"/>
      <c r="B71" s="100" t="s">
        <v>695</v>
      </c>
      <c r="C71" s="50" t="s">
        <v>809</v>
      </c>
      <c r="D71" s="98"/>
      <c r="E71" s="98"/>
      <c r="F71" s="98"/>
      <c r="G71" s="98"/>
      <c r="H71" s="98"/>
      <c r="I71" s="98"/>
      <c r="J71" s="98"/>
      <c r="K71" s="98"/>
      <c r="L71" s="98"/>
      <c r="M71" s="98">
        <v>4000000</v>
      </c>
      <c r="N71" s="98"/>
    </row>
    <row r="72" spans="1:19" x14ac:dyDescent="0.25">
      <c r="A72" s="50"/>
      <c r="B72" s="100" t="s">
        <v>695</v>
      </c>
      <c r="C72" s="50" t="s">
        <v>810</v>
      </c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>
        <v>9000000</v>
      </c>
    </row>
    <row r="73" spans="1:19" x14ac:dyDescent="0.25">
      <c r="A73" s="50"/>
      <c r="B73" s="100" t="s">
        <v>695</v>
      </c>
      <c r="C73" s="50" t="s">
        <v>811</v>
      </c>
      <c r="D73" s="98"/>
      <c r="E73" s="98"/>
      <c r="F73" s="98"/>
      <c r="G73" s="98"/>
      <c r="H73" s="98"/>
      <c r="I73" s="98"/>
      <c r="J73" s="98"/>
      <c r="K73" s="98"/>
      <c r="L73" s="98"/>
      <c r="M73" s="98">
        <v>4500000</v>
      </c>
      <c r="N73" s="98"/>
    </row>
    <row r="74" spans="1:19" x14ac:dyDescent="0.25">
      <c r="A74" s="50"/>
      <c r="B74" s="100" t="s">
        <v>695</v>
      </c>
      <c r="C74" s="50" t="s">
        <v>812</v>
      </c>
      <c r="D74" s="98"/>
      <c r="E74" s="98"/>
      <c r="F74" s="98"/>
      <c r="G74" s="98"/>
      <c r="H74" s="98"/>
      <c r="I74" s="98"/>
      <c r="J74" s="98"/>
      <c r="K74" s="98"/>
      <c r="L74" s="98"/>
      <c r="M74" s="98">
        <v>7000000</v>
      </c>
      <c r="N74" s="98">
        <v>4000000</v>
      </c>
    </row>
    <row r="75" spans="1:19" x14ac:dyDescent="0.25">
      <c r="A75" s="50"/>
      <c r="B75" s="100" t="s">
        <v>695</v>
      </c>
      <c r="C75" s="50" t="s">
        <v>813</v>
      </c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</row>
    <row r="76" spans="1:19" x14ac:dyDescent="0.25">
      <c r="A76" s="50"/>
      <c r="B76" s="100" t="s">
        <v>695</v>
      </c>
      <c r="C76" s="136" t="s">
        <v>814</v>
      </c>
      <c r="D76" s="98"/>
      <c r="E76" s="98"/>
      <c r="F76" s="98"/>
      <c r="G76" s="98"/>
      <c r="H76" s="98"/>
      <c r="I76" s="98"/>
      <c r="J76" s="98"/>
      <c r="K76" s="98"/>
      <c r="L76" s="98"/>
      <c r="M76" s="98">
        <v>5000000</v>
      </c>
      <c r="N76" s="98"/>
      <c r="S76" s="6"/>
    </row>
    <row r="77" spans="1:19" x14ac:dyDescent="0.25">
      <c r="A77" s="50"/>
      <c r="B77" s="100" t="s">
        <v>695</v>
      </c>
      <c r="C77" s="136" t="s">
        <v>815</v>
      </c>
      <c r="D77" s="98"/>
      <c r="E77" s="98"/>
      <c r="F77" s="98"/>
      <c r="G77" s="98"/>
      <c r="H77" s="98"/>
      <c r="I77" s="98"/>
      <c r="J77" s="98"/>
      <c r="K77" s="98"/>
      <c r="L77" s="98"/>
      <c r="M77" s="98">
        <v>8000000</v>
      </c>
      <c r="N77" s="98"/>
    </row>
    <row r="78" spans="1:19" x14ac:dyDescent="0.25">
      <c r="A78" s="50"/>
      <c r="B78" s="100" t="s">
        <v>695</v>
      </c>
      <c r="C78" s="136" t="s">
        <v>816</v>
      </c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>
        <v>7500000</v>
      </c>
      <c r="S78" s="6"/>
    </row>
    <row r="79" spans="1:19" x14ac:dyDescent="0.25">
      <c r="A79" s="50"/>
      <c r="B79" s="100" t="s">
        <v>695</v>
      </c>
      <c r="C79" s="136" t="s">
        <v>817</v>
      </c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>
        <v>5925000</v>
      </c>
    </row>
    <row r="80" spans="1:19" x14ac:dyDescent="0.25">
      <c r="A80" s="50"/>
      <c r="B80" s="100" t="s">
        <v>695</v>
      </c>
      <c r="C80" s="50" t="s">
        <v>818</v>
      </c>
      <c r="D80" s="98"/>
      <c r="E80" s="98"/>
      <c r="F80" s="98"/>
      <c r="G80" s="98"/>
      <c r="H80" s="98"/>
      <c r="I80" s="98"/>
      <c r="J80" s="98"/>
      <c r="K80" s="98"/>
      <c r="L80" s="98"/>
      <c r="M80" s="98">
        <v>4152000</v>
      </c>
      <c r="N80" s="98"/>
    </row>
    <row r="81" spans="1:18" x14ac:dyDescent="0.25">
      <c r="A81" s="50"/>
      <c r="B81" s="100" t="s">
        <v>695</v>
      </c>
      <c r="C81" s="50" t="s">
        <v>809</v>
      </c>
      <c r="D81" s="98"/>
      <c r="E81" s="98"/>
      <c r="F81" s="98"/>
      <c r="G81" s="98"/>
      <c r="H81" s="98"/>
      <c r="I81" s="98"/>
      <c r="J81" s="98"/>
      <c r="K81" s="98"/>
      <c r="L81" s="98"/>
      <c r="M81" s="98">
        <v>3500000</v>
      </c>
      <c r="N81" s="98"/>
    </row>
    <row r="82" spans="1:18" x14ac:dyDescent="0.25">
      <c r="A82" s="50" t="s">
        <v>11</v>
      </c>
      <c r="B82" s="100" t="s">
        <v>534</v>
      </c>
      <c r="C82" s="50" t="s">
        <v>535</v>
      </c>
      <c r="D82" s="98">
        <v>2840459</v>
      </c>
      <c r="E82" s="98"/>
      <c r="F82" s="98">
        <v>0</v>
      </c>
      <c r="G82" s="98">
        <v>0</v>
      </c>
      <c r="H82" s="98">
        <v>0</v>
      </c>
      <c r="I82" s="98"/>
      <c r="J82" s="98">
        <v>2840459</v>
      </c>
      <c r="K82" s="98">
        <v>0</v>
      </c>
      <c r="L82" s="98"/>
      <c r="M82" s="98"/>
      <c r="N82" s="98"/>
    </row>
    <row r="83" spans="1:18" hidden="1" x14ac:dyDescent="0.25">
      <c r="A83" s="140" t="s">
        <v>11</v>
      </c>
      <c r="B83" s="141" t="s">
        <v>536</v>
      </c>
      <c r="C83" s="140" t="s">
        <v>537</v>
      </c>
      <c r="D83" s="105">
        <v>-250000</v>
      </c>
      <c r="E83" s="105"/>
      <c r="F83" s="105">
        <v>0</v>
      </c>
      <c r="G83" s="105">
        <v>0</v>
      </c>
      <c r="H83" s="105">
        <v>0</v>
      </c>
      <c r="I83" s="105"/>
      <c r="J83" s="105">
        <v>-250000</v>
      </c>
      <c r="K83" s="105">
        <v>0</v>
      </c>
      <c r="L83" s="105"/>
      <c r="M83" s="105"/>
      <c r="N83" s="105">
        <v>3500000</v>
      </c>
    </row>
    <row r="84" spans="1:18" x14ac:dyDescent="0.25">
      <c r="A84" s="50" t="s">
        <v>11</v>
      </c>
      <c r="B84" s="100" t="s">
        <v>538</v>
      </c>
      <c r="C84" s="50" t="s">
        <v>539</v>
      </c>
      <c r="D84" s="98">
        <v>0</v>
      </c>
      <c r="E84" s="98"/>
      <c r="F84" s="98">
        <v>0</v>
      </c>
      <c r="G84" s="98">
        <v>0</v>
      </c>
      <c r="H84" s="98">
        <v>0</v>
      </c>
      <c r="I84" s="98"/>
      <c r="J84" s="98">
        <v>0</v>
      </c>
      <c r="K84" s="98">
        <v>0</v>
      </c>
      <c r="L84" s="98"/>
      <c r="M84" s="98"/>
      <c r="N84" s="98"/>
    </row>
    <row r="85" spans="1:18" x14ac:dyDescent="0.25">
      <c r="A85" s="50" t="s">
        <v>11</v>
      </c>
      <c r="B85" s="100" t="s">
        <v>540</v>
      </c>
      <c r="C85" s="50" t="s">
        <v>541</v>
      </c>
      <c r="D85" s="98">
        <v>250000</v>
      </c>
      <c r="E85" s="98"/>
      <c r="F85" s="98">
        <v>0</v>
      </c>
      <c r="G85" s="98">
        <v>0</v>
      </c>
      <c r="H85" s="98">
        <v>0</v>
      </c>
      <c r="I85" s="98"/>
      <c r="J85" s="98">
        <v>250000</v>
      </c>
      <c r="K85" s="98">
        <v>0</v>
      </c>
      <c r="L85" s="98"/>
      <c r="M85" s="98"/>
      <c r="N85" s="98"/>
    </row>
    <row r="86" spans="1:18" hidden="1" x14ac:dyDescent="0.25">
      <c r="A86" s="50" t="s">
        <v>11</v>
      </c>
      <c r="B86" s="100" t="s">
        <v>542</v>
      </c>
      <c r="C86" s="50" t="s">
        <v>543</v>
      </c>
      <c r="D86" s="98">
        <v>-100000</v>
      </c>
      <c r="E86" s="98"/>
      <c r="F86" s="98">
        <v>0</v>
      </c>
      <c r="G86" s="98">
        <v>0</v>
      </c>
      <c r="H86" s="98">
        <v>0</v>
      </c>
      <c r="I86" s="98"/>
      <c r="J86" s="98">
        <v>-100000</v>
      </c>
      <c r="K86" s="98">
        <v>0</v>
      </c>
      <c r="L86" s="98"/>
      <c r="M86" s="98"/>
      <c r="N86" s="98"/>
    </row>
    <row r="87" spans="1:18" x14ac:dyDescent="0.25">
      <c r="A87" s="50" t="s">
        <v>11</v>
      </c>
      <c r="B87" s="100" t="s">
        <v>544</v>
      </c>
      <c r="C87" s="50" t="s">
        <v>545</v>
      </c>
      <c r="D87" s="98">
        <v>71000</v>
      </c>
      <c r="E87" s="98"/>
      <c r="F87" s="98">
        <v>0</v>
      </c>
      <c r="G87" s="98">
        <v>0</v>
      </c>
      <c r="H87" s="98">
        <v>0</v>
      </c>
      <c r="I87" s="98"/>
      <c r="J87" s="98">
        <v>71000</v>
      </c>
      <c r="K87" s="98">
        <v>0</v>
      </c>
      <c r="L87" s="98"/>
      <c r="M87" s="98"/>
      <c r="N87" s="98"/>
    </row>
    <row r="88" spans="1:18" x14ac:dyDescent="0.25">
      <c r="A88" s="50" t="s">
        <v>11</v>
      </c>
      <c r="B88" s="100" t="s">
        <v>546</v>
      </c>
      <c r="C88" s="50" t="s">
        <v>547</v>
      </c>
      <c r="D88" s="98">
        <v>-271000</v>
      </c>
      <c r="E88" s="98"/>
      <c r="F88" s="98">
        <v>0</v>
      </c>
      <c r="G88" s="98">
        <v>0</v>
      </c>
      <c r="H88" s="98">
        <v>0</v>
      </c>
      <c r="I88" s="98"/>
      <c r="J88" s="98">
        <v>-271000</v>
      </c>
      <c r="K88" s="98">
        <v>0</v>
      </c>
      <c r="L88" s="98"/>
      <c r="M88" s="98"/>
      <c r="N88" s="98"/>
    </row>
    <row r="89" spans="1:18" x14ac:dyDescent="0.25">
      <c r="A89" s="50" t="s">
        <v>11</v>
      </c>
      <c r="B89" s="100" t="s">
        <v>550</v>
      </c>
      <c r="C89" s="50" t="s">
        <v>551</v>
      </c>
      <c r="D89" s="98">
        <v>-900000</v>
      </c>
      <c r="E89" s="98"/>
      <c r="F89" s="98">
        <v>0</v>
      </c>
      <c r="G89" s="98">
        <v>0</v>
      </c>
      <c r="H89" s="98">
        <v>0</v>
      </c>
      <c r="I89" s="98"/>
      <c r="J89" s="98">
        <v>-900000</v>
      </c>
      <c r="K89" s="98">
        <v>0</v>
      </c>
      <c r="L89" s="98"/>
      <c r="M89" s="98">
        <v>8500000</v>
      </c>
      <c r="N89" s="98"/>
    </row>
    <row r="90" spans="1:18" ht="15.75" thickBot="1" x14ac:dyDescent="0.3">
      <c r="B90" s="123"/>
      <c r="C90" s="124" t="s">
        <v>676</v>
      </c>
      <c r="D90" s="125">
        <f>SUM(D55:D89)</f>
        <v>53471000</v>
      </c>
      <c r="E90" s="125">
        <f t="shared" ref="E90:N90" si="2">SUM(E55:E89)</f>
        <v>0</v>
      </c>
      <c r="F90" s="125">
        <f t="shared" si="2"/>
        <v>596074.4</v>
      </c>
      <c r="G90" s="125">
        <f t="shared" si="2"/>
        <v>10322516.210000001</v>
      </c>
      <c r="H90" s="125">
        <f t="shared" si="2"/>
        <v>16876674.920000002</v>
      </c>
      <c r="I90" s="125">
        <f t="shared" si="2"/>
        <v>0</v>
      </c>
      <c r="J90" s="125">
        <f t="shared" si="2"/>
        <v>36594325.079999998</v>
      </c>
      <c r="K90" s="125">
        <f t="shared" si="2"/>
        <v>223.03</v>
      </c>
      <c r="L90" s="125">
        <f t="shared" si="2"/>
        <v>50000000</v>
      </c>
      <c r="M90" s="125">
        <f t="shared" si="2"/>
        <v>61652000</v>
      </c>
      <c r="N90" s="125">
        <f t="shared" si="2"/>
        <v>64425000</v>
      </c>
    </row>
    <row r="91" spans="1:18" ht="15.75" thickTop="1" x14ac:dyDescent="0.25"/>
    <row r="92" spans="1:18" x14ac:dyDescent="0.25">
      <c r="A92" s="50" t="s">
        <v>11</v>
      </c>
      <c r="B92" s="100" t="s">
        <v>508</v>
      </c>
      <c r="C92" s="50" t="s">
        <v>509</v>
      </c>
      <c r="D92" s="98">
        <v>0</v>
      </c>
      <c r="E92" s="98"/>
      <c r="F92" s="98">
        <v>16288444.32</v>
      </c>
      <c r="G92" s="98">
        <v>0</v>
      </c>
      <c r="H92" s="98">
        <v>16288444.32</v>
      </c>
      <c r="I92" s="98"/>
      <c r="J92" s="98">
        <v>-16288444.32</v>
      </c>
      <c r="K92" s="98">
        <v>0</v>
      </c>
      <c r="L92" s="98"/>
      <c r="M92" s="98"/>
      <c r="N92" s="98"/>
      <c r="O92" s="40"/>
      <c r="P92" s="40"/>
      <c r="Q92" s="41"/>
      <c r="R92" s="144"/>
    </row>
    <row r="93" spans="1:18" x14ac:dyDescent="0.25">
      <c r="A93" s="50" t="s">
        <v>11</v>
      </c>
      <c r="B93" s="100" t="s">
        <v>510</v>
      </c>
      <c r="C93" s="50" t="s">
        <v>511</v>
      </c>
      <c r="D93" s="98">
        <v>27000000</v>
      </c>
      <c r="E93" s="98"/>
      <c r="F93" s="98">
        <v>851740</v>
      </c>
      <c r="G93" s="98">
        <v>0</v>
      </c>
      <c r="H93" s="98">
        <v>851740</v>
      </c>
      <c r="I93" s="98"/>
      <c r="J93" s="98">
        <v>26148260</v>
      </c>
      <c r="K93" s="98">
        <v>3.15</v>
      </c>
      <c r="L93" s="98"/>
      <c r="M93" s="98"/>
      <c r="N93" s="98"/>
      <c r="O93" s="40"/>
      <c r="P93" s="40"/>
      <c r="Q93" s="41"/>
      <c r="R93" s="144"/>
    </row>
    <row r="94" spans="1:18" x14ac:dyDescent="0.25">
      <c r="A94" s="50" t="s">
        <v>11</v>
      </c>
      <c r="B94" s="100" t="s">
        <v>512</v>
      </c>
      <c r="C94" s="50" t="s">
        <v>513</v>
      </c>
      <c r="D94" s="98">
        <v>10000000</v>
      </c>
      <c r="E94" s="98"/>
      <c r="F94" s="98">
        <v>0</v>
      </c>
      <c r="G94" s="98">
        <v>0</v>
      </c>
      <c r="H94" s="98">
        <v>0</v>
      </c>
      <c r="I94" s="98"/>
      <c r="J94" s="98">
        <v>10000000</v>
      </c>
      <c r="K94" s="98">
        <v>0</v>
      </c>
      <c r="L94" s="98"/>
      <c r="M94" s="98"/>
      <c r="N94" s="98"/>
      <c r="O94" s="40"/>
      <c r="P94" s="40"/>
      <c r="Q94" s="41"/>
      <c r="R94" s="144"/>
    </row>
    <row r="95" spans="1:18" x14ac:dyDescent="0.25">
      <c r="A95" s="50" t="s">
        <v>11</v>
      </c>
      <c r="B95" s="100" t="s">
        <v>514</v>
      </c>
      <c r="C95" s="50" t="s">
        <v>515</v>
      </c>
      <c r="D95" s="98">
        <v>3221000</v>
      </c>
      <c r="E95" s="98"/>
      <c r="F95" s="98">
        <v>0</v>
      </c>
      <c r="G95" s="98">
        <v>0</v>
      </c>
      <c r="H95" s="98">
        <v>0</v>
      </c>
      <c r="I95" s="98"/>
      <c r="J95" s="98">
        <v>3221000</v>
      </c>
      <c r="K95" s="98">
        <v>0</v>
      </c>
      <c r="L95" s="98"/>
      <c r="M95" s="98"/>
      <c r="N95" s="98"/>
      <c r="O95" s="40"/>
      <c r="P95" s="40"/>
      <c r="Q95" s="41"/>
      <c r="R95" s="144"/>
    </row>
    <row r="96" spans="1:18" ht="15.75" thickBot="1" x14ac:dyDescent="0.3">
      <c r="B96" s="137"/>
      <c r="C96" s="138" t="s">
        <v>677</v>
      </c>
      <c r="D96" s="139">
        <f>SUM(D92:D95)</f>
        <v>40221000</v>
      </c>
      <c r="E96" s="139">
        <f t="shared" ref="E96:N96" si="3">SUM(E92:E95)</f>
        <v>0</v>
      </c>
      <c r="F96" s="139">
        <f t="shared" si="3"/>
        <v>17140184.32</v>
      </c>
      <c r="G96" s="139">
        <f t="shared" si="3"/>
        <v>0</v>
      </c>
      <c r="H96" s="139">
        <f t="shared" si="3"/>
        <v>17140184.32</v>
      </c>
      <c r="I96" s="139">
        <f t="shared" si="3"/>
        <v>0</v>
      </c>
      <c r="J96" s="139">
        <f t="shared" si="3"/>
        <v>23080815.68</v>
      </c>
      <c r="K96" s="139">
        <f t="shared" si="3"/>
        <v>3.15</v>
      </c>
      <c r="L96" s="139">
        <f t="shared" si="3"/>
        <v>0</v>
      </c>
      <c r="M96" s="139">
        <f t="shared" si="3"/>
        <v>0</v>
      </c>
      <c r="N96" s="139">
        <f t="shared" si="3"/>
        <v>0</v>
      </c>
      <c r="O96" s="40"/>
      <c r="P96" s="40"/>
      <c r="Q96" s="41"/>
      <c r="R96" s="144"/>
    </row>
    <row r="97" spans="1:18" ht="16.5" thickTop="1" thickBot="1" x14ac:dyDescent="0.3">
      <c r="O97" s="40"/>
      <c r="P97" s="40"/>
      <c r="Q97" s="107"/>
      <c r="R97" s="40"/>
    </row>
    <row r="98" spans="1:18" x14ac:dyDescent="0.25">
      <c r="A98" t="s">
        <v>11</v>
      </c>
      <c r="B98" s="100" t="s">
        <v>559</v>
      </c>
      <c r="C98" s="50" t="s">
        <v>560</v>
      </c>
      <c r="D98" s="98">
        <v>2310000</v>
      </c>
      <c r="E98" s="98"/>
      <c r="F98" s="98">
        <v>194533.85</v>
      </c>
      <c r="G98" s="98">
        <v>1747516.15</v>
      </c>
      <c r="H98" s="98">
        <v>562483.85</v>
      </c>
      <c r="I98" s="98"/>
      <c r="J98" s="98">
        <v>1747516.15</v>
      </c>
      <c r="K98" s="98">
        <v>24.34</v>
      </c>
      <c r="L98" s="98">
        <v>2437000</v>
      </c>
      <c r="M98" s="98">
        <v>2578000</v>
      </c>
      <c r="N98" s="98">
        <v>2727000</v>
      </c>
      <c r="O98" s="40"/>
      <c r="P98" s="40"/>
      <c r="Q98" s="41"/>
      <c r="R98" s="40"/>
    </row>
    <row r="99" spans="1:18" ht="15.75" thickBot="1" x14ac:dyDescent="0.3">
      <c r="B99" s="123"/>
      <c r="C99" s="124" t="s">
        <v>678</v>
      </c>
      <c r="D99" s="125">
        <f>SUM(D98)</f>
        <v>2310000</v>
      </c>
      <c r="E99" s="125">
        <f t="shared" ref="E99:N99" si="4">SUM(E98)</f>
        <v>0</v>
      </c>
      <c r="F99" s="125">
        <f t="shared" si="4"/>
        <v>194533.85</v>
      </c>
      <c r="G99" s="125">
        <f t="shared" si="4"/>
        <v>1747516.15</v>
      </c>
      <c r="H99" s="125">
        <f t="shared" si="4"/>
        <v>562483.85</v>
      </c>
      <c r="I99" s="125">
        <f t="shared" si="4"/>
        <v>0</v>
      </c>
      <c r="J99" s="125">
        <f t="shared" si="4"/>
        <v>1747516.15</v>
      </c>
      <c r="K99" s="125">
        <f t="shared" si="4"/>
        <v>24.34</v>
      </c>
      <c r="L99" s="125">
        <f t="shared" si="4"/>
        <v>2437000</v>
      </c>
      <c r="M99" s="125">
        <f t="shared" si="4"/>
        <v>2578000</v>
      </c>
      <c r="N99" s="125">
        <f t="shared" si="4"/>
        <v>2727000</v>
      </c>
    </row>
    <row r="100" spans="1:18" ht="15.75" thickTop="1" x14ac:dyDescent="0.25"/>
    <row r="102" spans="1:18" ht="15.75" thickBot="1" x14ac:dyDescent="0.3">
      <c r="C102" s="124" t="s">
        <v>925</v>
      </c>
      <c r="D102" s="125">
        <f>D99+D96+D90+D53+D34</f>
        <v>505584921</v>
      </c>
      <c r="E102" s="125">
        <f t="shared" ref="E102:N102" si="5">E99+E96+E90+E53+E34</f>
        <v>2</v>
      </c>
      <c r="F102" s="125">
        <f t="shared" si="5"/>
        <v>31437441.27</v>
      </c>
      <c r="G102" s="125">
        <f t="shared" si="5"/>
        <v>100565111.26000001</v>
      </c>
      <c r="H102" s="125">
        <f t="shared" si="5"/>
        <v>246145095.08000004</v>
      </c>
      <c r="I102" s="125">
        <f t="shared" si="5"/>
        <v>2</v>
      </c>
      <c r="J102" s="125">
        <f t="shared" si="5"/>
        <v>259439827.91999999</v>
      </c>
      <c r="K102" s="125">
        <f t="shared" si="5"/>
        <v>834.03</v>
      </c>
      <c r="L102" s="125">
        <f t="shared" si="5"/>
        <v>473097002</v>
      </c>
      <c r="M102" s="125">
        <f t="shared" si="5"/>
        <v>541808002</v>
      </c>
      <c r="N102" s="125">
        <f t="shared" si="5"/>
        <v>566374012</v>
      </c>
    </row>
    <row r="103" spans="1:18" ht="15.75" thickTop="1" x14ac:dyDescent="0.25"/>
  </sheetData>
  <mergeCells count="1">
    <mergeCell ref="C2:N2"/>
  </mergeCells>
  <pageMargins left="0.7" right="0.7" top="0.75" bottom="0.75" header="0.3" footer="0.3"/>
  <pageSetup paperSize="9" scale="3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6"/>
  <sheetViews>
    <sheetView workbookViewId="0">
      <selection activeCell="A9" sqref="A9:XFD9"/>
    </sheetView>
  </sheetViews>
  <sheetFormatPr defaultRowHeight="15" x14ac:dyDescent="0.25"/>
  <cols>
    <col min="2" max="2" width="44.7109375" style="16" customWidth="1"/>
    <col min="3" max="3" width="36.7109375" style="2" customWidth="1"/>
    <col min="4" max="4" width="19.7109375" bestFit="1" customWidth="1"/>
    <col min="5" max="5" width="19" style="2" customWidth="1"/>
    <col min="6" max="6" width="55.85546875" style="16" bestFit="1" customWidth="1"/>
    <col min="7" max="7" width="14.5703125" customWidth="1"/>
  </cols>
  <sheetData>
    <row r="1" spans="1:6" ht="15.75" thickBot="1" x14ac:dyDescent="0.3"/>
    <row r="2" spans="1:6" s="4" customFormat="1" ht="27" thickBot="1" x14ac:dyDescent="0.45">
      <c r="B2" s="17" t="s">
        <v>743</v>
      </c>
      <c r="C2" s="18" t="s">
        <v>692</v>
      </c>
      <c r="D2" s="19" t="s">
        <v>693</v>
      </c>
      <c r="E2" s="19" t="s">
        <v>694</v>
      </c>
      <c r="F2" s="20" t="s">
        <v>744</v>
      </c>
    </row>
    <row r="3" spans="1:6" ht="45" x14ac:dyDescent="0.25">
      <c r="A3">
        <v>1</v>
      </c>
      <c r="B3" s="21" t="s">
        <v>745</v>
      </c>
      <c r="C3" s="2">
        <v>10307807</v>
      </c>
      <c r="D3" s="6">
        <f>C3*1.06</f>
        <v>10926275.42</v>
      </c>
      <c r="E3" s="2">
        <f>D3*1.06</f>
        <v>11581851.9452</v>
      </c>
      <c r="F3" s="21" t="s">
        <v>746</v>
      </c>
    </row>
    <row r="4" spans="1:6" x14ac:dyDescent="0.25">
      <c r="A4">
        <v>2</v>
      </c>
      <c r="B4" s="21" t="s">
        <v>747</v>
      </c>
      <c r="C4" s="22">
        <v>500000</v>
      </c>
      <c r="D4" s="6"/>
      <c r="F4" s="21" t="s">
        <v>748</v>
      </c>
    </row>
    <row r="5" spans="1:6" x14ac:dyDescent="0.25">
      <c r="A5">
        <v>3</v>
      </c>
      <c r="B5" s="21" t="s">
        <v>749</v>
      </c>
      <c r="C5" s="22">
        <v>500000</v>
      </c>
      <c r="D5" s="6"/>
      <c r="F5" s="21" t="s">
        <v>750</v>
      </c>
    </row>
    <row r="6" spans="1:6" ht="75" x14ac:dyDescent="0.25">
      <c r="A6">
        <v>4</v>
      </c>
      <c r="B6" s="23" t="s">
        <v>751</v>
      </c>
      <c r="C6" s="24">
        <v>2000000</v>
      </c>
      <c r="D6" s="25">
        <v>1500000</v>
      </c>
      <c r="E6" s="24">
        <v>0</v>
      </c>
      <c r="F6" s="21" t="s">
        <v>752</v>
      </c>
    </row>
    <row r="7" spans="1:6" ht="30" x14ac:dyDescent="0.25">
      <c r="A7">
        <v>5</v>
      </c>
      <c r="B7" s="23" t="s">
        <v>753</v>
      </c>
      <c r="C7" s="2">
        <v>500000</v>
      </c>
      <c r="D7" s="6">
        <f>C7*1.06</f>
        <v>530000</v>
      </c>
      <c r="E7" s="2">
        <f>D7*1.06</f>
        <v>561800</v>
      </c>
      <c r="F7" s="21" t="s">
        <v>754</v>
      </c>
    </row>
    <row r="8" spans="1:6" ht="45" x14ac:dyDescent="0.25">
      <c r="A8">
        <v>6</v>
      </c>
      <c r="B8" s="23" t="s">
        <v>755</v>
      </c>
      <c r="C8" s="2">
        <v>1500000</v>
      </c>
      <c r="D8" s="6">
        <v>1000000</v>
      </c>
      <c r="F8" s="21" t="s">
        <v>756</v>
      </c>
    </row>
    <row r="9" spans="1:6" ht="45" x14ac:dyDescent="0.25">
      <c r="A9">
        <v>7</v>
      </c>
      <c r="B9" s="21" t="s">
        <v>757</v>
      </c>
      <c r="C9" s="2">
        <v>25000000</v>
      </c>
      <c r="D9" s="6">
        <f>C9*1.06</f>
        <v>26500000</v>
      </c>
      <c r="F9" s="21" t="s">
        <v>758</v>
      </c>
    </row>
    <row r="10" spans="1:6" ht="75" x14ac:dyDescent="0.25">
      <c r="A10">
        <v>8</v>
      </c>
      <c r="B10" s="21" t="s">
        <v>759</v>
      </c>
      <c r="C10" s="2">
        <v>0</v>
      </c>
      <c r="D10" s="6">
        <f>C10*1.06</f>
        <v>0</v>
      </c>
      <c r="E10" s="2">
        <f>D10*1.06</f>
        <v>0</v>
      </c>
      <c r="F10" s="21" t="s">
        <v>760</v>
      </c>
    </row>
    <row r="11" spans="1:6" ht="93" customHeight="1" x14ac:dyDescent="0.25">
      <c r="A11">
        <v>9</v>
      </c>
      <c r="B11" s="26" t="s">
        <v>761</v>
      </c>
      <c r="C11" s="2">
        <v>500000</v>
      </c>
      <c r="D11" s="6">
        <f>C11*1.06</f>
        <v>530000</v>
      </c>
      <c r="F11" s="21" t="s">
        <v>762</v>
      </c>
    </row>
    <row r="12" spans="1:6" ht="30" x14ac:dyDescent="0.25">
      <c r="A12">
        <v>10</v>
      </c>
      <c r="B12" s="21" t="s">
        <v>763</v>
      </c>
      <c r="C12" s="2">
        <v>0</v>
      </c>
      <c r="D12" s="6">
        <f>C12*1.06</f>
        <v>0</v>
      </c>
      <c r="E12" s="2">
        <f>D12*1.06</f>
        <v>0</v>
      </c>
      <c r="F12" s="21" t="s">
        <v>764</v>
      </c>
    </row>
    <row r="13" spans="1:6" ht="30" x14ac:dyDescent="0.25">
      <c r="A13">
        <v>11</v>
      </c>
      <c r="B13" s="26" t="s">
        <v>765</v>
      </c>
      <c r="C13" s="182">
        <v>3500000</v>
      </c>
      <c r="D13" s="183">
        <f>C13*1.06</f>
        <v>3710000</v>
      </c>
      <c r="E13" s="182"/>
      <c r="F13" s="184" t="s">
        <v>766</v>
      </c>
    </row>
    <row r="14" spans="1:6" ht="45" x14ac:dyDescent="0.25">
      <c r="A14">
        <v>12</v>
      </c>
      <c r="B14" s="26" t="s">
        <v>767</v>
      </c>
      <c r="C14" s="182"/>
      <c r="D14" s="183"/>
      <c r="E14" s="182"/>
      <c r="F14" s="184"/>
    </row>
    <row r="15" spans="1:6" x14ac:dyDescent="0.25">
      <c r="A15">
        <v>13</v>
      </c>
      <c r="B15" s="26" t="s">
        <v>768</v>
      </c>
      <c r="C15" s="182"/>
      <c r="D15" s="183"/>
      <c r="E15" s="182"/>
      <c r="F15" s="184"/>
    </row>
    <row r="16" spans="1:6" ht="45" x14ac:dyDescent="0.25">
      <c r="A16">
        <v>14</v>
      </c>
      <c r="B16" s="21" t="s">
        <v>769</v>
      </c>
      <c r="C16" s="2">
        <v>0</v>
      </c>
      <c r="D16" s="6">
        <f>C16*1.06</f>
        <v>0</v>
      </c>
      <c r="E16" s="2">
        <f>D16*1.06</f>
        <v>0</v>
      </c>
      <c r="F16" s="21" t="s">
        <v>770</v>
      </c>
    </row>
    <row r="17" spans="1:7" ht="45" x14ac:dyDescent="0.25">
      <c r="A17">
        <v>15</v>
      </c>
      <c r="B17" s="23" t="s">
        <v>771</v>
      </c>
      <c r="C17" s="27">
        <v>500000</v>
      </c>
      <c r="D17" s="28">
        <f>C17*1.06</f>
        <v>530000</v>
      </c>
      <c r="E17" s="27">
        <f>D17*1.06</f>
        <v>561800</v>
      </c>
      <c r="F17" s="21" t="s">
        <v>772</v>
      </c>
    </row>
    <row r="18" spans="1:7" ht="60" x14ac:dyDescent="0.25">
      <c r="A18">
        <v>16</v>
      </c>
      <c r="B18" s="23" t="s">
        <v>773</v>
      </c>
      <c r="C18" s="2">
        <v>1500000</v>
      </c>
      <c r="D18" s="6">
        <f>C18*1.06</f>
        <v>1590000</v>
      </c>
      <c r="E18" s="29"/>
      <c r="F18" s="21" t="s">
        <v>774</v>
      </c>
    </row>
    <row r="19" spans="1:7" ht="30" x14ac:dyDescent="0.25">
      <c r="A19">
        <v>17</v>
      </c>
      <c r="B19" s="21" t="s">
        <v>775</v>
      </c>
      <c r="C19" s="2">
        <v>1000000</v>
      </c>
      <c r="D19" s="6">
        <f>C19*1.06</f>
        <v>1060000</v>
      </c>
      <c r="E19" s="29">
        <f>D19*1.06</f>
        <v>1123600</v>
      </c>
      <c r="F19" s="21" t="s">
        <v>776</v>
      </c>
    </row>
    <row r="20" spans="1:7" ht="60" x14ac:dyDescent="0.25">
      <c r="A20">
        <v>18</v>
      </c>
      <c r="B20" s="26" t="s">
        <v>777</v>
      </c>
      <c r="C20" s="185">
        <v>0</v>
      </c>
      <c r="D20" s="183">
        <f>C20*1.06</f>
        <v>0</v>
      </c>
      <c r="E20" s="182">
        <f>D20*1.06</f>
        <v>0</v>
      </c>
      <c r="F20" s="186" t="s">
        <v>778</v>
      </c>
    </row>
    <row r="21" spans="1:7" ht="45" x14ac:dyDescent="0.25">
      <c r="A21">
        <v>19</v>
      </c>
      <c r="B21" s="26" t="s">
        <v>779</v>
      </c>
      <c r="C21" s="185"/>
      <c r="D21" s="183"/>
      <c r="E21" s="182"/>
      <c r="F21" s="186"/>
    </row>
    <row r="22" spans="1:7" ht="37.5" customHeight="1" x14ac:dyDescent="0.25">
      <c r="A22">
        <v>20</v>
      </c>
      <c r="B22" s="26" t="s">
        <v>780</v>
      </c>
      <c r="C22" s="182">
        <v>300000</v>
      </c>
      <c r="D22" s="183">
        <f>C22*1.06</f>
        <v>318000</v>
      </c>
      <c r="E22" s="182">
        <f>D22*1.06</f>
        <v>337080</v>
      </c>
      <c r="F22" s="184" t="s">
        <v>766</v>
      </c>
    </row>
    <row r="23" spans="1:7" x14ac:dyDescent="0.25">
      <c r="A23">
        <v>21</v>
      </c>
      <c r="B23" s="26" t="s">
        <v>781</v>
      </c>
      <c r="C23" s="182"/>
      <c r="D23" s="183"/>
      <c r="E23" s="182"/>
      <c r="F23" s="184"/>
    </row>
    <row r="24" spans="1:7" ht="60" x14ac:dyDescent="0.25">
      <c r="A24">
        <v>22</v>
      </c>
      <c r="B24" s="21" t="s">
        <v>782</v>
      </c>
      <c r="C24" s="30">
        <v>0</v>
      </c>
      <c r="D24" s="31">
        <f t="shared" ref="D24:E30" si="0">C24*1.06</f>
        <v>0</v>
      </c>
      <c r="E24" s="30">
        <f t="shared" si="0"/>
        <v>0</v>
      </c>
      <c r="F24" s="21" t="s">
        <v>783</v>
      </c>
    </row>
    <row r="25" spans="1:7" ht="45" x14ac:dyDescent="0.25">
      <c r="A25">
        <v>23</v>
      </c>
      <c r="B25" s="21" t="s">
        <v>784</v>
      </c>
      <c r="C25" s="32">
        <v>1500000</v>
      </c>
      <c r="D25" s="6">
        <f t="shared" si="0"/>
        <v>1590000</v>
      </c>
      <c r="E25" s="32">
        <f t="shared" si="0"/>
        <v>1685400</v>
      </c>
      <c r="F25" s="21" t="s">
        <v>785</v>
      </c>
    </row>
    <row r="26" spans="1:7" ht="45" x14ac:dyDescent="0.25">
      <c r="A26">
        <v>24</v>
      </c>
      <c r="B26" s="21" t="s">
        <v>786</v>
      </c>
      <c r="C26" s="30">
        <v>0</v>
      </c>
      <c r="D26" s="31">
        <f t="shared" si="0"/>
        <v>0</v>
      </c>
      <c r="E26" s="30">
        <f t="shared" si="0"/>
        <v>0</v>
      </c>
      <c r="F26" s="21" t="s">
        <v>787</v>
      </c>
    </row>
    <row r="27" spans="1:7" ht="30" x14ac:dyDescent="0.25">
      <c r="A27">
        <v>25</v>
      </c>
      <c r="B27" s="21" t="s">
        <v>788</v>
      </c>
      <c r="C27" s="33">
        <v>4000000</v>
      </c>
      <c r="D27" s="6">
        <f t="shared" si="0"/>
        <v>4240000</v>
      </c>
      <c r="E27" s="33">
        <f t="shared" si="0"/>
        <v>4494400</v>
      </c>
      <c r="F27" s="21" t="s">
        <v>789</v>
      </c>
    </row>
    <row r="28" spans="1:7" ht="30" x14ac:dyDescent="0.25">
      <c r="A28">
        <v>31</v>
      </c>
      <c r="B28" s="21" t="s">
        <v>790</v>
      </c>
      <c r="C28" s="33">
        <v>500000</v>
      </c>
      <c r="D28" s="31">
        <f t="shared" si="0"/>
        <v>530000</v>
      </c>
      <c r="E28" s="30">
        <f t="shared" si="0"/>
        <v>561800</v>
      </c>
      <c r="F28" s="21" t="s">
        <v>791</v>
      </c>
    </row>
    <row r="29" spans="1:7" ht="30" x14ac:dyDescent="0.25">
      <c r="A29">
        <v>32</v>
      </c>
      <c r="B29" s="21" t="s">
        <v>792</v>
      </c>
      <c r="C29" s="33" t="s">
        <v>793</v>
      </c>
      <c r="D29" s="33" t="s">
        <v>793</v>
      </c>
      <c r="E29" s="33" t="s">
        <v>793</v>
      </c>
      <c r="F29" s="21" t="s">
        <v>794</v>
      </c>
    </row>
    <row r="30" spans="1:7" ht="90" x14ac:dyDescent="0.25">
      <c r="A30">
        <v>33</v>
      </c>
      <c r="B30" s="21" t="s">
        <v>795</v>
      </c>
      <c r="C30" s="33">
        <v>1000000</v>
      </c>
      <c r="D30" s="6">
        <f t="shared" si="0"/>
        <v>1060000</v>
      </c>
      <c r="E30" s="33">
        <f t="shared" si="0"/>
        <v>1123600</v>
      </c>
      <c r="F30" s="21" t="s">
        <v>796</v>
      </c>
      <c r="G30" s="21" t="s">
        <v>797</v>
      </c>
    </row>
    <row r="31" spans="1:7" ht="23.25" x14ac:dyDescent="0.25">
      <c r="B31" s="34"/>
      <c r="D31" s="6"/>
    </row>
    <row r="32" spans="1:7" s="4" customFormat="1" ht="15.75" thickBot="1" x14ac:dyDescent="0.3">
      <c r="B32" s="35" t="s">
        <v>798</v>
      </c>
      <c r="C32" s="3">
        <f>SUM(C3:C31)</f>
        <v>54607807</v>
      </c>
      <c r="D32" s="3">
        <f>SUM(D3:D31)</f>
        <v>55614275.420000002</v>
      </c>
      <c r="E32" s="3">
        <f>SUM(E3:E31)</f>
        <v>22031331.9452</v>
      </c>
      <c r="F32" s="35"/>
    </row>
    <row r="34" spans="2:4" x14ac:dyDescent="0.25">
      <c r="D34" s="6"/>
    </row>
    <row r="35" spans="2:4" x14ac:dyDescent="0.25">
      <c r="D35" s="6"/>
    </row>
    <row r="36" spans="2:4" x14ac:dyDescent="0.25">
      <c r="D36" s="6"/>
    </row>
    <row r="37" spans="2:4" x14ac:dyDescent="0.25">
      <c r="D37" s="6"/>
    </row>
    <row r="38" spans="2:4" x14ac:dyDescent="0.25">
      <c r="D38" s="6"/>
    </row>
    <row r="39" spans="2:4" ht="30" x14ac:dyDescent="0.25">
      <c r="B39" s="36" t="s">
        <v>799</v>
      </c>
      <c r="D39" s="6"/>
    </row>
    <row r="40" spans="2:4" x14ac:dyDescent="0.25">
      <c r="D40" s="6"/>
    </row>
    <row r="41" spans="2:4" x14ac:dyDescent="0.25">
      <c r="D41" s="6"/>
    </row>
    <row r="42" spans="2:4" x14ac:dyDescent="0.25">
      <c r="D42" s="6"/>
    </row>
    <row r="43" spans="2:4" x14ac:dyDescent="0.25">
      <c r="D43" s="6"/>
    </row>
    <row r="44" spans="2:4" x14ac:dyDescent="0.25">
      <c r="D44" s="6"/>
    </row>
    <row r="45" spans="2:4" x14ac:dyDescent="0.25">
      <c r="D45" s="6"/>
    </row>
    <row r="46" spans="2:4" x14ac:dyDescent="0.25">
      <c r="D46" s="6"/>
    </row>
    <row r="47" spans="2:4" x14ac:dyDescent="0.25">
      <c r="D47" s="6"/>
    </row>
    <row r="48" spans="2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2:6" x14ac:dyDescent="0.25">
      <c r="D65" s="6"/>
    </row>
    <row r="66" spans="2:6" x14ac:dyDescent="0.25">
      <c r="D66" s="6"/>
    </row>
    <row r="67" spans="2:6" x14ac:dyDescent="0.25">
      <c r="D67" s="6"/>
    </row>
    <row r="68" spans="2:6" x14ac:dyDescent="0.25">
      <c r="D68" s="6"/>
    </row>
    <row r="69" spans="2:6" x14ac:dyDescent="0.25">
      <c r="D69" s="6"/>
    </row>
    <row r="70" spans="2:6" x14ac:dyDescent="0.25">
      <c r="D70" s="6"/>
    </row>
    <row r="71" spans="2:6" x14ac:dyDescent="0.25">
      <c r="D71" s="6"/>
    </row>
    <row r="72" spans="2:6" x14ac:dyDescent="0.25">
      <c r="D72" s="6"/>
    </row>
    <row r="73" spans="2:6" x14ac:dyDescent="0.25">
      <c r="D73" s="6"/>
    </row>
    <row r="74" spans="2:6" x14ac:dyDescent="0.25">
      <c r="D74" s="6"/>
    </row>
    <row r="75" spans="2:6" x14ac:dyDescent="0.25">
      <c r="D75" s="6"/>
    </row>
    <row r="76" spans="2:6" x14ac:dyDescent="0.25">
      <c r="D76" s="6"/>
    </row>
    <row r="77" spans="2:6" x14ac:dyDescent="0.25">
      <c r="C77" s="37"/>
      <c r="D77" s="6"/>
      <c r="E77" s="37"/>
    </row>
    <row r="78" spans="2:6" s="4" customFormat="1" x14ac:dyDescent="0.25">
      <c r="B78" s="35"/>
      <c r="C78" s="8"/>
      <c r="D78" s="8"/>
      <c r="E78" s="8"/>
      <c r="F78" s="35"/>
    </row>
    <row r="79" spans="2:6" x14ac:dyDescent="0.25">
      <c r="C79" s="37"/>
      <c r="E79" s="37"/>
    </row>
    <row r="80" spans="2:6" x14ac:dyDescent="0.25">
      <c r="C80" s="37"/>
      <c r="D80" s="6"/>
      <c r="E80" s="37"/>
    </row>
    <row r="81" spans="3:5" x14ac:dyDescent="0.25">
      <c r="C81" s="37"/>
      <c r="D81" s="6"/>
      <c r="E81" s="37"/>
    </row>
    <row r="82" spans="3:5" x14ac:dyDescent="0.25">
      <c r="D82" s="6"/>
    </row>
    <row r="83" spans="3:5" x14ac:dyDescent="0.25">
      <c r="D83" s="6"/>
    </row>
    <row r="84" spans="3:5" x14ac:dyDescent="0.25">
      <c r="D84" s="6"/>
    </row>
    <row r="85" spans="3:5" x14ac:dyDescent="0.25">
      <c r="D85" s="6"/>
    </row>
    <row r="86" spans="3:5" x14ac:dyDescent="0.25">
      <c r="D86" s="6"/>
    </row>
    <row r="87" spans="3:5" x14ac:dyDescent="0.25">
      <c r="D87" s="6"/>
    </row>
    <row r="88" spans="3:5" x14ac:dyDescent="0.25">
      <c r="D88" s="6"/>
    </row>
    <row r="89" spans="3:5" x14ac:dyDescent="0.25">
      <c r="D89" s="6"/>
    </row>
    <row r="90" spans="3:5" x14ac:dyDescent="0.25">
      <c r="D90" s="6"/>
    </row>
    <row r="91" spans="3:5" x14ac:dyDescent="0.25">
      <c r="D91" s="6"/>
    </row>
    <row r="92" spans="3:5" x14ac:dyDescent="0.25">
      <c r="D92" s="6"/>
    </row>
    <row r="93" spans="3:5" x14ac:dyDescent="0.25">
      <c r="D93" s="6"/>
    </row>
    <row r="94" spans="3:5" x14ac:dyDescent="0.25">
      <c r="D94" s="6"/>
    </row>
    <row r="95" spans="3:5" x14ac:dyDescent="0.25">
      <c r="D95" s="6"/>
    </row>
    <row r="96" spans="3:5" x14ac:dyDescent="0.25">
      <c r="D96" s="6"/>
    </row>
    <row r="97" spans="2:6" x14ac:dyDescent="0.25">
      <c r="D97" s="6"/>
    </row>
    <row r="98" spans="2:6" x14ac:dyDescent="0.25">
      <c r="D98" s="6"/>
    </row>
    <row r="99" spans="2:6" x14ac:dyDescent="0.25">
      <c r="D99" s="6"/>
    </row>
    <row r="100" spans="2:6" x14ac:dyDescent="0.25">
      <c r="D100" s="6"/>
    </row>
    <row r="101" spans="2:6" x14ac:dyDescent="0.25">
      <c r="D101" s="6"/>
    </row>
    <row r="102" spans="2:6" x14ac:dyDescent="0.25">
      <c r="D102" s="6"/>
    </row>
    <row r="103" spans="2:6" x14ac:dyDescent="0.25">
      <c r="D103" s="6"/>
    </row>
    <row r="104" spans="2:6" x14ac:dyDescent="0.25">
      <c r="D104" s="6"/>
    </row>
    <row r="105" spans="2:6" x14ac:dyDescent="0.25">
      <c r="D105" s="6"/>
    </row>
    <row r="106" spans="2:6" x14ac:dyDescent="0.25">
      <c r="D106" s="6"/>
    </row>
    <row r="107" spans="2:6" x14ac:dyDescent="0.25">
      <c r="D107" s="6"/>
    </row>
    <row r="108" spans="2:6" x14ac:dyDescent="0.25">
      <c r="D108" s="6"/>
    </row>
    <row r="109" spans="2:6" s="4" customFormat="1" ht="15.75" thickBot="1" x14ac:dyDescent="0.3">
      <c r="B109" s="35"/>
      <c r="C109" s="3"/>
      <c r="D109" s="3"/>
      <c r="E109" s="3"/>
      <c r="F109" s="35"/>
    </row>
    <row r="111" spans="2:6" x14ac:dyDescent="0.25">
      <c r="D111" s="6"/>
    </row>
    <row r="112" spans="2:6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2:6" s="4" customFormat="1" ht="15.75" thickBot="1" x14ac:dyDescent="0.3">
      <c r="B161" s="35"/>
      <c r="C161" s="3"/>
      <c r="D161" s="3"/>
      <c r="E161" s="3"/>
      <c r="F161" s="35"/>
    </row>
    <row r="163" spans="2:6" x14ac:dyDescent="0.25">
      <c r="D163" s="6"/>
    </row>
    <row r="164" spans="2:6" x14ac:dyDescent="0.25">
      <c r="D164" s="6"/>
    </row>
    <row r="165" spans="2:6" x14ac:dyDescent="0.25">
      <c r="D165" s="6"/>
    </row>
    <row r="166" spans="2:6" x14ac:dyDescent="0.25">
      <c r="D166" s="6"/>
    </row>
    <row r="167" spans="2:6" x14ac:dyDescent="0.25">
      <c r="D167" s="6"/>
    </row>
    <row r="168" spans="2:6" x14ac:dyDescent="0.25">
      <c r="D168" s="6"/>
    </row>
    <row r="169" spans="2:6" x14ac:dyDescent="0.25">
      <c r="D169" s="6"/>
    </row>
    <row r="170" spans="2:6" x14ac:dyDescent="0.25">
      <c r="D170" s="12"/>
      <c r="E170" s="13"/>
    </row>
    <row r="171" spans="2:6" x14ac:dyDescent="0.25">
      <c r="D171" s="12"/>
      <c r="E171" s="13"/>
    </row>
    <row r="172" spans="2:6" x14ac:dyDescent="0.25">
      <c r="D172" s="12"/>
      <c r="E172" s="13"/>
    </row>
    <row r="173" spans="2:6" x14ac:dyDescent="0.25">
      <c r="D173" s="12"/>
      <c r="E173" s="13"/>
    </row>
    <row r="174" spans="2:6" x14ac:dyDescent="0.25">
      <c r="D174" s="12"/>
      <c r="E174" s="13"/>
    </row>
    <row r="175" spans="2:6" x14ac:dyDescent="0.25">
      <c r="D175" s="6"/>
    </row>
    <row r="176" spans="2:6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5" x14ac:dyDescent="0.25">
      <c r="D193" s="6"/>
    </row>
    <row r="194" spans="4:5" x14ac:dyDescent="0.25">
      <c r="D194" s="6"/>
    </row>
    <row r="195" spans="4:5" x14ac:dyDescent="0.25">
      <c r="D195" s="6"/>
    </row>
    <row r="196" spans="4:5" x14ac:dyDescent="0.25">
      <c r="D196" s="6"/>
      <c r="E196" s="10"/>
    </row>
    <row r="197" spans="4:5" x14ac:dyDescent="0.25">
      <c r="D197" s="6"/>
      <c r="E197" s="10"/>
    </row>
    <row r="198" spans="4:5" x14ac:dyDescent="0.25">
      <c r="D198" s="6"/>
      <c r="E198" s="10"/>
    </row>
    <row r="199" spans="4:5" x14ac:dyDescent="0.25">
      <c r="D199" s="6"/>
      <c r="E199" s="10"/>
    </row>
    <row r="200" spans="4:5" x14ac:dyDescent="0.25">
      <c r="D200" s="6"/>
      <c r="E200" s="10"/>
    </row>
    <row r="201" spans="4:5" x14ac:dyDescent="0.25">
      <c r="D201" s="6"/>
      <c r="E201" s="10"/>
    </row>
    <row r="202" spans="4:5" x14ac:dyDescent="0.25">
      <c r="D202" s="6"/>
      <c r="E202" s="10"/>
    </row>
    <row r="203" spans="4:5" x14ac:dyDescent="0.25">
      <c r="D203" s="14"/>
      <c r="E203" s="15"/>
    </row>
    <row r="204" spans="4:5" x14ac:dyDescent="0.25">
      <c r="D204" s="6"/>
      <c r="E204" s="10"/>
    </row>
    <row r="205" spans="4:5" x14ac:dyDescent="0.25">
      <c r="D205" s="6"/>
      <c r="E205" s="10"/>
    </row>
    <row r="206" spans="4:5" x14ac:dyDescent="0.25">
      <c r="D206" s="6"/>
      <c r="E206" s="10"/>
    </row>
    <row r="207" spans="4:5" x14ac:dyDescent="0.25">
      <c r="D207" s="6"/>
      <c r="E207" s="10"/>
    </row>
    <row r="208" spans="4:5" x14ac:dyDescent="0.25">
      <c r="D208" s="14"/>
      <c r="E208" s="15"/>
    </row>
    <row r="209" spans="2:6" x14ac:dyDescent="0.25">
      <c r="D209" s="6"/>
      <c r="E209" s="10"/>
    </row>
    <row r="210" spans="2:6" x14ac:dyDescent="0.25">
      <c r="D210" s="6"/>
      <c r="E210" s="10"/>
    </row>
    <row r="211" spans="2:6" x14ac:dyDescent="0.25">
      <c r="D211" s="6"/>
      <c r="E211" s="10"/>
    </row>
    <row r="212" spans="2:6" x14ac:dyDescent="0.25">
      <c r="D212" s="6"/>
      <c r="E212" s="10"/>
    </row>
    <row r="213" spans="2:6" x14ac:dyDescent="0.25">
      <c r="D213" s="6"/>
      <c r="E213" s="10"/>
    </row>
    <row r="214" spans="2:6" x14ac:dyDescent="0.25">
      <c r="D214" s="6"/>
      <c r="E214" s="10"/>
    </row>
    <row r="215" spans="2:6" x14ac:dyDescent="0.25">
      <c r="D215" s="14"/>
      <c r="E215" s="15"/>
    </row>
    <row r="216" spans="2:6" x14ac:dyDescent="0.25">
      <c r="D216" s="14"/>
      <c r="E216" s="15"/>
    </row>
    <row r="217" spans="2:6" x14ac:dyDescent="0.25">
      <c r="D217" s="6"/>
      <c r="E217" s="10"/>
    </row>
    <row r="218" spans="2:6" x14ac:dyDescent="0.25">
      <c r="D218" s="6"/>
      <c r="E218" s="10"/>
    </row>
    <row r="219" spans="2:6" x14ac:dyDescent="0.25">
      <c r="D219" s="6"/>
      <c r="E219" s="10"/>
    </row>
    <row r="220" spans="2:6" x14ac:dyDescent="0.25">
      <c r="D220" s="6"/>
      <c r="E220" s="10"/>
    </row>
    <row r="221" spans="2:6" x14ac:dyDescent="0.25">
      <c r="D221" s="6"/>
      <c r="E221" s="10"/>
    </row>
    <row r="222" spans="2:6" x14ac:dyDescent="0.25">
      <c r="D222" s="6"/>
      <c r="E222" s="10"/>
    </row>
    <row r="223" spans="2:6" x14ac:dyDescent="0.25">
      <c r="D223" s="6"/>
      <c r="E223" s="10"/>
    </row>
    <row r="224" spans="2:6" s="4" customFormat="1" ht="15.75" thickBot="1" x14ac:dyDescent="0.3">
      <c r="B224" s="35"/>
      <c r="C224" s="3"/>
      <c r="D224" s="3"/>
      <c r="E224" s="3"/>
      <c r="F224" s="35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2:6" x14ac:dyDescent="0.25">
      <c r="D241" s="6"/>
      <c r="E241" s="22"/>
    </row>
    <row r="242" spans="2:6" x14ac:dyDescent="0.25">
      <c r="D242" s="6"/>
      <c r="E242" s="22"/>
    </row>
    <row r="243" spans="2:6" x14ac:dyDescent="0.25">
      <c r="D243" s="6"/>
      <c r="E243" s="22"/>
    </row>
    <row r="244" spans="2:6" x14ac:dyDescent="0.25">
      <c r="D244" s="6"/>
      <c r="E244" s="22"/>
    </row>
    <row r="245" spans="2:6" x14ac:dyDescent="0.25">
      <c r="D245" s="6"/>
      <c r="E245" s="22"/>
    </row>
    <row r="246" spans="2:6" x14ac:dyDescent="0.25">
      <c r="D246" s="6"/>
      <c r="E246" s="22"/>
    </row>
    <row r="247" spans="2:6" x14ac:dyDescent="0.25">
      <c r="D247" s="6"/>
      <c r="E247" s="22"/>
    </row>
    <row r="248" spans="2:6" s="4" customFormat="1" ht="15.75" thickBot="1" x14ac:dyDescent="0.3">
      <c r="B248" s="35"/>
      <c r="C248" s="3"/>
      <c r="D248" s="3"/>
      <c r="E248" s="3"/>
      <c r="F248" s="35"/>
    </row>
    <row r="250" spans="2:6" x14ac:dyDescent="0.25">
      <c r="D250" s="6"/>
    </row>
    <row r="251" spans="2:6" x14ac:dyDescent="0.25">
      <c r="D251" s="6"/>
    </row>
    <row r="252" spans="2:6" x14ac:dyDescent="0.25">
      <c r="D252" s="6"/>
    </row>
    <row r="253" spans="2:6" x14ac:dyDescent="0.25">
      <c r="D253" s="6"/>
    </row>
    <row r="254" spans="2:6" x14ac:dyDescent="0.25">
      <c r="D254" s="6"/>
    </row>
    <row r="255" spans="2:6" x14ac:dyDescent="0.25">
      <c r="D255" s="6"/>
    </row>
    <row r="256" spans="2:6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2:6" x14ac:dyDescent="0.25">
      <c r="D273" s="6"/>
    </row>
    <row r="274" spans="2:6" x14ac:dyDescent="0.25">
      <c r="D274" s="6"/>
    </row>
    <row r="275" spans="2:6" x14ac:dyDescent="0.25">
      <c r="D275" s="6"/>
    </row>
    <row r="276" spans="2:6" x14ac:dyDescent="0.25">
      <c r="D276" s="6"/>
    </row>
    <row r="277" spans="2:6" x14ac:dyDescent="0.25">
      <c r="D277" s="6"/>
    </row>
    <row r="278" spans="2:6" x14ac:dyDescent="0.25">
      <c r="D278" s="6"/>
    </row>
    <row r="279" spans="2:6" x14ac:dyDescent="0.25">
      <c r="D279" s="6"/>
    </row>
    <row r="280" spans="2:6" x14ac:dyDescent="0.25">
      <c r="D280" s="6"/>
    </row>
    <row r="281" spans="2:6" x14ac:dyDescent="0.25">
      <c r="D281" s="6"/>
    </row>
    <row r="282" spans="2:6" x14ac:dyDescent="0.25">
      <c r="D282" s="6"/>
    </row>
    <row r="283" spans="2:6" x14ac:dyDescent="0.25">
      <c r="D283" s="6"/>
    </row>
    <row r="284" spans="2:6" x14ac:dyDescent="0.25">
      <c r="D284" s="6"/>
    </row>
    <row r="285" spans="2:6" x14ac:dyDescent="0.25">
      <c r="D285" s="6"/>
    </row>
    <row r="286" spans="2:6" s="4" customFormat="1" ht="15.75" thickBot="1" x14ac:dyDescent="0.3">
      <c r="B286" s="35"/>
      <c r="C286" s="3"/>
      <c r="D286" s="38"/>
      <c r="E286" s="38"/>
      <c r="F286" s="35"/>
    </row>
    <row r="288" spans="2:6" x14ac:dyDescent="0.25">
      <c r="D288" s="6"/>
    </row>
    <row r="289" spans="2:6" s="4" customFormat="1" ht="15.75" thickBot="1" x14ac:dyDescent="0.3">
      <c r="B289" s="35"/>
      <c r="C289" s="3"/>
      <c r="D289" s="3"/>
      <c r="E289" s="3"/>
      <c r="F289" s="35"/>
    </row>
    <row r="291" spans="2:6" x14ac:dyDescent="0.25">
      <c r="D291" s="6"/>
    </row>
    <row r="292" spans="2:6" x14ac:dyDescent="0.25">
      <c r="D292" s="6"/>
    </row>
    <row r="293" spans="2:6" x14ac:dyDescent="0.25">
      <c r="D293" s="6"/>
    </row>
    <row r="294" spans="2:6" x14ac:dyDescent="0.25">
      <c r="D294" s="6"/>
    </row>
    <row r="295" spans="2:6" x14ac:dyDescent="0.25">
      <c r="D295" s="6"/>
    </row>
    <row r="296" spans="2:6" x14ac:dyDescent="0.25">
      <c r="D296" s="6"/>
    </row>
    <row r="297" spans="2:6" x14ac:dyDescent="0.25">
      <c r="D297" s="6"/>
    </row>
    <row r="298" spans="2:6" x14ac:dyDescent="0.25">
      <c r="D298" s="6"/>
    </row>
    <row r="299" spans="2:6" x14ac:dyDescent="0.25">
      <c r="D299" s="6"/>
    </row>
    <row r="300" spans="2:6" x14ac:dyDescent="0.25">
      <c r="D300" s="6"/>
    </row>
    <row r="301" spans="2:6" x14ac:dyDescent="0.25">
      <c r="D301" s="6"/>
    </row>
    <row r="302" spans="2:6" x14ac:dyDescent="0.25">
      <c r="D302" s="6"/>
    </row>
    <row r="303" spans="2:6" x14ac:dyDescent="0.25">
      <c r="D303" s="6"/>
    </row>
    <row r="304" spans="2:6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2:6" x14ac:dyDescent="0.25">
      <c r="D321" s="6"/>
    </row>
    <row r="322" spans="2:6" x14ac:dyDescent="0.25">
      <c r="D322" s="6"/>
    </row>
    <row r="323" spans="2:6" x14ac:dyDescent="0.25">
      <c r="D323" s="6"/>
    </row>
    <row r="324" spans="2:6" x14ac:dyDescent="0.25">
      <c r="D324" s="6"/>
    </row>
    <row r="325" spans="2:6" x14ac:dyDescent="0.25">
      <c r="D325" s="6"/>
    </row>
    <row r="326" spans="2:6" x14ac:dyDescent="0.25">
      <c r="D326" s="6"/>
    </row>
    <row r="327" spans="2:6" x14ac:dyDescent="0.25">
      <c r="D327" s="6"/>
    </row>
    <row r="328" spans="2:6" x14ac:dyDescent="0.25">
      <c r="D328" s="6"/>
    </row>
    <row r="329" spans="2:6" x14ac:dyDescent="0.25">
      <c r="D329" s="6"/>
    </row>
    <row r="330" spans="2:6" x14ac:dyDescent="0.25">
      <c r="D330" s="6"/>
    </row>
    <row r="331" spans="2:6" x14ac:dyDescent="0.25">
      <c r="D331" s="6"/>
    </row>
    <row r="332" spans="2:6" x14ac:dyDescent="0.25">
      <c r="D332" s="6"/>
    </row>
    <row r="333" spans="2:6" x14ac:dyDescent="0.25">
      <c r="D333" s="6"/>
    </row>
    <row r="334" spans="2:6" x14ac:dyDescent="0.25">
      <c r="D334" s="6"/>
    </row>
    <row r="335" spans="2:6" x14ac:dyDescent="0.25">
      <c r="D335" s="6"/>
    </row>
    <row r="336" spans="2:6" s="4" customFormat="1" ht="15.75" thickBot="1" x14ac:dyDescent="0.3">
      <c r="B336" s="35"/>
      <c r="C336" s="3"/>
      <c r="D336" s="3"/>
      <c r="E336" s="3"/>
      <c r="F336" s="35"/>
    </row>
  </sheetData>
  <mergeCells count="12">
    <mergeCell ref="C22:C23"/>
    <mergeCell ref="D22:D23"/>
    <mergeCell ref="E22:E23"/>
    <mergeCell ref="F22:F23"/>
    <mergeCell ref="C13:C15"/>
    <mergeCell ref="D13:D15"/>
    <mergeCell ref="E13:E15"/>
    <mergeCell ref="F13:F15"/>
    <mergeCell ref="C20:C21"/>
    <mergeCell ref="D20:D21"/>
    <mergeCell ref="E20:E21"/>
    <mergeCell ref="F20:F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</vt:lpstr>
      <vt:lpstr>Revenue</vt:lpstr>
      <vt:lpstr>Opex</vt:lpstr>
      <vt:lpstr>Capex</vt:lpstr>
      <vt:lpstr>projects priorty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Senzile Maseko</dc:creator>
  <cp:lastModifiedBy>Vhugala Budeli</cp:lastModifiedBy>
  <cp:lastPrinted>2021-03-29T04:48:33Z</cp:lastPrinted>
  <dcterms:created xsi:type="dcterms:W3CDTF">2021-03-03T10:59:39Z</dcterms:created>
  <dcterms:modified xsi:type="dcterms:W3CDTF">2021-04-01T08:52:09Z</dcterms:modified>
</cp:coreProperties>
</file>